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rdine-2016\redirect$\SaraB\Desktop\"/>
    </mc:Choice>
  </mc:AlternateContent>
  <xr:revisionPtr revIDLastSave="0" documentId="13_ncr:1_{97F18BDA-AA5C-4E67-80D0-736A4427CC92}" xr6:coauthVersionLast="47" xr6:coauthVersionMax="47" xr10:uidLastSave="{00000000-0000-0000-0000-000000000000}"/>
  <bookViews>
    <workbookView xWindow="28680" yWindow="-5430" windowWidth="29040" windowHeight="15720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A2" i="1" l="1"/>
  <c r="B2" i="1"/>
  <c r="C2" i="1"/>
  <c r="D2" i="1"/>
  <c r="E2" i="1"/>
  <c r="F2" i="1"/>
  <c r="G2" i="1"/>
  <c r="H2" i="1"/>
  <c r="I2" i="1"/>
  <c r="J2" i="1"/>
  <c r="K2" i="1"/>
  <c r="L2" i="1"/>
  <c r="A3" i="1"/>
  <c r="B3" i="1"/>
  <c r="C3" i="1"/>
  <c r="D3" i="1"/>
  <c r="E3" i="1"/>
  <c r="F3" i="1"/>
  <c r="G3" i="1"/>
  <c r="H3" i="1"/>
  <c r="I3" i="1"/>
  <c r="J3" i="1"/>
  <c r="K3" i="1"/>
  <c r="L3" i="1"/>
  <c r="A4" i="1"/>
  <c r="B4" i="1"/>
  <c r="C4" i="1"/>
  <c r="D4" i="1"/>
  <c r="E4" i="1"/>
  <c r="F4" i="1"/>
  <c r="G4" i="1"/>
  <c r="H4" i="1"/>
  <c r="I4" i="1"/>
  <c r="J4" i="1"/>
  <c r="K4" i="1"/>
  <c r="L4" i="1"/>
  <c r="A5" i="1"/>
  <c r="B5" i="1"/>
  <c r="C5" i="1"/>
  <c r="D5" i="1"/>
  <c r="E5" i="1"/>
  <c r="F5" i="1"/>
  <c r="G5" i="1"/>
  <c r="H5" i="1"/>
  <c r="I5" i="1"/>
  <c r="J5" i="1"/>
  <c r="K5" i="1"/>
  <c r="L5" i="1"/>
  <c r="A6" i="1"/>
  <c r="B6" i="1"/>
  <c r="C6" i="1"/>
  <c r="D6" i="1"/>
  <c r="E6" i="1"/>
  <c r="F6" i="1"/>
  <c r="G6" i="1"/>
  <c r="H6" i="1"/>
  <c r="I6" i="1"/>
  <c r="J6" i="1"/>
  <c r="K6" i="1"/>
  <c r="L6" i="1"/>
  <c r="A7" i="1"/>
  <c r="B7" i="1"/>
  <c r="C7" i="1"/>
  <c r="D7" i="1"/>
  <c r="E7" i="1"/>
  <c r="F7" i="1"/>
  <c r="G7" i="1"/>
  <c r="H7" i="1"/>
  <c r="I7" i="1"/>
  <c r="J7" i="1"/>
  <c r="K7" i="1"/>
  <c r="L7" i="1"/>
  <c r="A8" i="1"/>
  <c r="B8" i="1"/>
  <c r="C8" i="1"/>
  <c r="D8" i="1"/>
  <c r="E8" i="1"/>
  <c r="F8" i="1"/>
  <c r="G8" i="1"/>
  <c r="H8" i="1"/>
  <c r="I8" i="1"/>
  <c r="J8" i="1"/>
  <c r="K8" i="1"/>
  <c r="L8" i="1"/>
  <c r="A9" i="1"/>
  <c r="B9" i="1"/>
  <c r="C9" i="1"/>
  <c r="D9" i="1"/>
  <c r="E9" i="1"/>
  <c r="F9" i="1"/>
  <c r="G9" i="1"/>
  <c r="H9" i="1"/>
  <c r="I9" i="1"/>
  <c r="J9" i="1"/>
  <c r="K9" i="1"/>
  <c r="L9" i="1"/>
  <c r="A10" i="1"/>
  <c r="B10" i="1"/>
  <c r="C10" i="1"/>
  <c r="D10" i="1"/>
  <c r="E10" i="1"/>
  <c r="F10" i="1"/>
  <c r="G10" i="1"/>
  <c r="H10" i="1"/>
  <c r="I10" i="1"/>
  <c r="J10" i="1"/>
  <c r="K10" i="1"/>
  <c r="L10" i="1"/>
  <c r="A11" i="1"/>
  <c r="B11" i="1"/>
  <c r="C11" i="1"/>
  <c r="D11" i="1"/>
  <c r="E11" i="1"/>
  <c r="F11" i="1"/>
  <c r="G11" i="1"/>
  <c r="H11" i="1"/>
  <c r="I11" i="1"/>
  <c r="J11" i="1"/>
  <c r="K11" i="1"/>
  <c r="L11" i="1"/>
  <c r="A12" i="1"/>
  <c r="B12" i="1"/>
  <c r="C12" i="1"/>
  <c r="D12" i="1"/>
  <c r="E12" i="1"/>
  <c r="F12" i="1"/>
  <c r="G12" i="1"/>
  <c r="H12" i="1"/>
  <c r="I12" i="1"/>
  <c r="J12" i="1"/>
  <c r="K12" i="1"/>
  <c r="L12" i="1"/>
  <c r="A13" i="1"/>
  <c r="B13" i="1"/>
  <c r="C13" i="1"/>
  <c r="D13" i="1"/>
  <c r="E13" i="1"/>
  <c r="F13" i="1"/>
  <c r="G13" i="1"/>
  <c r="H13" i="1"/>
  <c r="I13" i="1"/>
  <c r="J13" i="1"/>
  <c r="K13" i="1"/>
  <c r="L13" i="1"/>
  <c r="A14" i="1"/>
  <c r="B14" i="1"/>
  <c r="C14" i="1"/>
  <c r="D14" i="1"/>
  <c r="E14" i="1"/>
  <c r="F14" i="1"/>
  <c r="G14" i="1"/>
  <c r="H14" i="1"/>
  <c r="I14" i="1"/>
  <c r="J14" i="1"/>
  <c r="K14" i="1"/>
  <c r="L14" i="1"/>
  <c r="A15" i="1"/>
  <c r="B15" i="1"/>
  <c r="C15" i="1"/>
  <c r="D15" i="1"/>
  <c r="E15" i="1"/>
  <c r="F15" i="1"/>
  <c r="G15" i="1"/>
  <c r="H15" i="1"/>
  <c r="I15" i="1"/>
  <c r="J15" i="1"/>
  <c r="K15" i="1"/>
  <c r="L15" i="1"/>
  <c r="A16" i="1"/>
  <c r="B16" i="1"/>
  <c r="C16" i="1"/>
  <c r="D16" i="1"/>
  <c r="E16" i="1"/>
  <c r="F16" i="1"/>
  <c r="G16" i="1"/>
  <c r="H16" i="1"/>
  <c r="I16" i="1"/>
  <c r="J16" i="1"/>
  <c r="K16" i="1"/>
  <c r="L16" i="1"/>
  <c r="A17" i="1"/>
  <c r="B17" i="1"/>
  <c r="C17" i="1"/>
  <c r="D17" i="1"/>
  <c r="E17" i="1"/>
  <c r="F17" i="1"/>
  <c r="G17" i="1"/>
  <c r="H17" i="1"/>
  <c r="I17" i="1"/>
  <c r="J17" i="1"/>
  <c r="K17" i="1"/>
  <c r="L17" i="1"/>
  <c r="A18" i="1"/>
  <c r="B18" i="1"/>
  <c r="C18" i="1"/>
  <c r="D18" i="1"/>
  <c r="E18" i="1"/>
  <c r="F18" i="1"/>
  <c r="G18" i="1"/>
  <c r="H18" i="1"/>
  <c r="I18" i="1"/>
  <c r="J18" i="1"/>
  <c r="K18" i="1"/>
  <c r="L18" i="1"/>
  <c r="A19" i="1"/>
  <c r="B19" i="1"/>
  <c r="C19" i="1"/>
  <c r="D19" i="1"/>
  <c r="E19" i="1"/>
  <c r="F19" i="1"/>
  <c r="G19" i="1"/>
  <c r="H19" i="1"/>
  <c r="I19" i="1"/>
  <c r="J19" i="1"/>
  <c r="K19" i="1"/>
  <c r="L19" i="1"/>
  <c r="A20" i="1"/>
  <c r="B20" i="1"/>
  <c r="C20" i="1"/>
  <c r="D20" i="1"/>
  <c r="E20" i="1"/>
  <c r="F20" i="1"/>
  <c r="G20" i="1"/>
  <c r="H20" i="1"/>
  <c r="I20" i="1"/>
  <c r="J20" i="1"/>
  <c r="K20" i="1"/>
  <c r="L20" i="1"/>
  <c r="A21" i="1"/>
  <c r="B21" i="1"/>
  <c r="C21" i="1"/>
  <c r="D21" i="1"/>
  <c r="E21" i="1"/>
  <c r="F21" i="1"/>
  <c r="G21" i="1"/>
  <c r="H21" i="1"/>
  <c r="I21" i="1"/>
  <c r="J21" i="1"/>
  <c r="K21" i="1"/>
  <c r="L21" i="1"/>
  <c r="A22" i="1"/>
  <c r="B22" i="1"/>
  <c r="C22" i="1"/>
  <c r="D22" i="1"/>
  <c r="E22" i="1"/>
  <c r="F22" i="1"/>
  <c r="G22" i="1"/>
  <c r="H22" i="1"/>
  <c r="I22" i="1"/>
  <c r="J22" i="1"/>
  <c r="K22" i="1"/>
  <c r="L22" i="1"/>
  <c r="A23" i="1"/>
  <c r="B23" i="1"/>
  <c r="C23" i="1"/>
  <c r="D23" i="1"/>
  <c r="E23" i="1"/>
  <c r="F23" i="1"/>
  <c r="G23" i="1"/>
  <c r="H23" i="1"/>
  <c r="I23" i="1"/>
  <c r="J23" i="1"/>
  <c r="K23" i="1"/>
  <c r="L23" i="1"/>
  <c r="A24" i="1"/>
  <c r="B24" i="1"/>
  <c r="C24" i="1"/>
  <c r="D24" i="1"/>
  <c r="E24" i="1"/>
  <c r="F24" i="1"/>
  <c r="G24" i="1"/>
  <c r="H24" i="1"/>
  <c r="I24" i="1"/>
  <c r="J24" i="1"/>
  <c r="K24" i="1"/>
  <c r="L24" i="1"/>
  <c r="A25" i="1"/>
  <c r="B25" i="1"/>
  <c r="C25" i="1"/>
  <c r="D25" i="1"/>
  <c r="E25" i="1"/>
  <c r="F25" i="1"/>
  <c r="G25" i="1"/>
  <c r="H25" i="1"/>
  <c r="I25" i="1"/>
  <c r="J25" i="1"/>
  <c r="K25" i="1"/>
  <c r="L25" i="1"/>
  <c r="A26" i="1"/>
  <c r="B26" i="1"/>
  <c r="C26" i="1"/>
  <c r="D26" i="1"/>
  <c r="E26" i="1"/>
  <c r="F26" i="1"/>
  <c r="G26" i="1"/>
  <c r="H26" i="1"/>
  <c r="I26" i="1"/>
  <c r="J26" i="1"/>
  <c r="K26" i="1"/>
  <c r="L26" i="1"/>
  <c r="A27" i="1"/>
  <c r="B27" i="1"/>
  <c r="C27" i="1"/>
  <c r="D27" i="1"/>
  <c r="E27" i="1"/>
  <c r="F27" i="1"/>
  <c r="G27" i="1"/>
  <c r="H27" i="1"/>
  <c r="I27" i="1"/>
  <c r="J27" i="1"/>
  <c r="K27" i="1"/>
  <c r="L27" i="1"/>
  <c r="A28" i="1"/>
  <c r="B28" i="1"/>
  <c r="C28" i="1"/>
  <c r="D28" i="1"/>
  <c r="E28" i="1"/>
  <c r="F28" i="1"/>
  <c r="G28" i="1"/>
  <c r="H28" i="1"/>
  <c r="I28" i="1"/>
  <c r="J28" i="1"/>
  <c r="K28" i="1"/>
  <c r="L28" i="1"/>
  <c r="A29" i="1"/>
  <c r="B29" i="1"/>
  <c r="C29" i="1"/>
  <c r="D29" i="1"/>
  <c r="E29" i="1"/>
  <c r="F29" i="1"/>
  <c r="G29" i="1"/>
  <c r="H29" i="1"/>
  <c r="I29" i="1"/>
  <c r="J29" i="1"/>
  <c r="K29" i="1"/>
  <c r="L29" i="1"/>
  <c r="A30" i="1"/>
  <c r="B30" i="1"/>
  <c r="C30" i="1"/>
  <c r="D30" i="1"/>
  <c r="E30" i="1"/>
  <c r="F30" i="1"/>
  <c r="G30" i="1"/>
  <c r="H30" i="1"/>
  <c r="I30" i="1"/>
  <c r="J30" i="1"/>
  <c r="K30" i="1"/>
  <c r="L30" i="1"/>
  <c r="A31" i="1"/>
  <c r="B31" i="1"/>
  <c r="C31" i="1"/>
  <c r="D31" i="1"/>
  <c r="E31" i="1"/>
  <c r="F31" i="1"/>
  <c r="G31" i="1"/>
  <c r="H31" i="1"/>
  <c r="I31" i="1"/>
  <c r="J31" i="1"/>
  <c r="K31" i="1"/>
  <c r="L31" i="1"/>
  <c r="A32" i="1"/>
  <c r="B32" i="1"/>
  <c r="C32" i="1"/>
  <c r="D32" i="1"/>
  <c r="E32" i="1"/>
  <c r="F32" i="1"/>
  <c r="G32" i="1"/>
  <c r="H32" i="1"/>
  <c r="I32" i="1"/>
  <c r="J32" i="1"/>
  <c r="K32" i="1"/>
  <c r="L32" i="1"/>
  <c r="A33" i="1"/>
  <c r="B33" i="1"/>
  <c r="C33" i="1"/>
  <c r="D33" i="1"/>
  <c r="E33" i="1"/>
  <c r="F33" i="1"/>
  <c r="G33" i="1"/>
  <c r="H33" i="1"/>
  <c r="I33" i="1"/>
  <c r="J33" i="1"/>
  <c r="K33" i="1"/>
  <c r="L33" i="1"/>
  <c r="A34" i="1"/>
  <c r="B34" i="1"/>
  <c r="C34" i="1"/>
  <c r="D34" i="1"/>
  <c r="E34" i="1"/>
  <c r="F34" i="1"/>
  <c r="G34" i="1"/>
  <c r="H34" i="1"/>
  <c r="I34" i="1"/>
  <c r="J34" i="1"/>
  <c r="K34" i="1"/>
  <c r="L34" i="1"/>
  <c r="A35" i="1"/>
  <c r="B35" i="1"/>
  <c r="C35" i="1"/>
  <c r="D35" i="1"/>
  <c r="E35" i="1"/>
  <c r="F35" i="1"/>
  <c r="G35" i="1"/>
  <c r="H35" i="1"/>
  <c r="I35" i="1"/>
  <c r="J35" i="1"/>
  <c r="K35" i="1"/>
  <c r="L35" i="1"/>
  <c r="A36" i="1"/>
  <c r="B36" i="1"/>
  <c r="C36" i="1"/>
  <c r="D36" i="1"/>
  <c r="E36" i="1"/>
  <c r="F36" i="1"/>
  <c r="G36" i="1"/>
  <c r="H36" i="1"/>
  <c r="I36" i="1"/>
  <c r="J36" i="1"/>
  <c r="K36" i="1"/>
  <c r="L36" i="1"/>
  <c r="A37" i="1"/>
  <c r="B37" i="1"/>
  <c r="C37" i="1"/>
  <c r="D37" i="1"/>
  <c r="E37" i="1"/>
  <c r="F37" i="1"/>
  <c r="G37" i="1"/>
  <c r="H37" i="1"/>
  <c r="I37" i="1"/>
  <c r="J37" i="1"/>
  <c r="K37" i="1"/>
  <c r="L37" i="1"/>
  <c r="A38" i="1"/>
  <c r="B38" i="1"/>
  <c r="C38" i="1"/>
  <c r="D38" i="1"/>
  <c r="E38" i="1"/>
  <c r="F38" i="1"/>
  <c r="G38" i="1"/>
  <c r="H38" i="1"/>
  <c r="I38" i="1"/>
  <c r="J38" i="1"/>
  <c r="K38" i="1"/>
  <c r="L38" i="1"/>
  <c r="A39" i="1"/>
  <c r="B39" i="1"/>
  <c r="C39" i="1"/>
  <c r="D39" i="1"/>
  <c r="E39" i="1"/>
  <c r="F39" i="1"/>
  <c r="G39" i="1"/>
  <c r="H39" i="1"/>
  <c r="I39" i="1"/>
  <c r="J39" i="1"/>
  <c r="K39" i="1"/>
  <c r="L39" i="1"/>
  <c r="A40" i="1"/>
  <c r="B40" i="1"/>
  <c r="C40" i="1"/>
  <c r="D40" i="1"/>
  <c r="E40" i="1"/>
  <c r="F40" i="1"/>
  <c r="G40" i="1"/>
  <c r="H40" i="1"/>
  <c r="I40" i="1"/>
  <c r="J40" i="1"/>
  <c r="K40" i="1"/>
  <c r="L40" i="1"/>
  <c r="A41" i="1"/>
  <c r="B41" i="1"/>
  <c r="C41" i="1"/>
  <c r="D41" i="1"/>
  <c r="E41" i="1"/>
  <c r="F41" i="1"/>
  <c r="G41" i="1"/>
  <c r="H41" i="1"/>
  <c r="I41" i="1"/>
  <c r="J41" i="1"/>
  <c r="K41" i="1"/>
  <c r="L41" i="1"/>
  <c r="A42" i="1"/>
  <c r="B42" i="1"/>
  <c r="C42" i="1"/>
  <c r="D42" i="1"/>
  <c r="E42" i="1"/>
  <c r="F42" i="1"/>
  <c r="G42" i="1"/>
  <c r="H42" i="1"/>
  <c r="I42" i="1"/>
  <c r="J42" i="1"/>
  <c r="K42" i="1"/>
  <c r="L42" i="1"/>
  <c r="A43" i="1"/>
  <c r="B43" i="1"/>
  <c r="C43" i="1"/>
  <c r="D43" i="1"/>
  <c r="E43" i="1"/>
  <c r="F43" i="1"/>
  <c r="G43" i="1"/>
  <c r="H43" i="1"/>
  <c r="I43" i="1"/>
  <c r="J43" i="1"/>
  <c r="K43" i="1"/>
  <c r="L43" i="1"/>
  <c r="A44" i="1"/>
  <c r="B44" i="1"/>
  <c r="C44" i="1"/>
  <c r="D44" i="1"/>
  <c r="E44" i="1"/>
  <c r="F44" i="1"/>
  <c r="G44" i="1"/>
  <c r="H44" i="1"/>
  <c r="I44" i="1"/>
  <c r="J44" i="1"/>
  <c r="K44" i="1"/>
  <c r="L44" i="1"/>
  <c r="A45" i="1"/>
  <c r="B45" i="1"/>
  <c r="C45" i="1"/>
  <c r="D45" i="1"/>
  <c r="E45" i="1"/>
  <c r="F45" i="1"/>
  <c r="G45" i="1"/>
  <c r="H45" i="1"/>
  <c r="I45" i="1"/>
  <c r="J45" i="1"/>
  <c r="K45" i="1"/>
  <c r="L45" i="1"/>
  <c r="A46" i="1"/>
  <c r="B46" i="1"/>
  <c r="C46" i="1"/>
  <c r="D46" i="1"/>
  <c r="E46" i="1"/>
  <c r="F46" i="1"/>
  <c r="G46" i="1"/>
  <c r="H46" i="1"/>
  <c r="I46" i="1"/>
  <c r="J46" i="1"/>
  <c r="K46" i="1"/>
  <c r="L46" i="1"/>
  <c r="A47" i="1"/>
  <c r="B47" i="1"/>
  <c r="C47" i="1"/>
  <c r="D47" i="1"/>
  <c r="E47" i="1"/>
  <c r="F47" i="1"/>
  <c r="G47" i="1"/>
  <c r="H47" i="1"/>
  <c r="I47" i="1"/>
  <c r="J47" i="1"/>
  <c r="K47" i="1"/>
  <c r="L47" i="1"/>
  <c r="A48" i="1"/>
  <c r="B48" i="1"/>
  <c r="C48" i="1"/>
  <c r="D48" i="1"/>
  <c r="E48" i="1"/>
  <c r="F48" i="1"/>
  <c r="G48" i="1"/>
  <c r="H48" i="1"/>
  <c r="I48" i="1"/>
  <c r="J48" i="1"/>
  <c r="K48" i="1"/>
  <c r="L48" i="1"/>
  <c r="A49" i="1"/>
  <c r="B49" i="1"/>
  <c r="C49" i="1"/>
  <c r="D49" i="1"/>
  <c r="E49" i="1"/>
  <c r="F49" i="1"/>
  <c r="G49" i="1"/>
  <c r="H49" i="1"/>
  <c r="I49" i="1"/>
  <c r="J49" i="1"/>
  <c r="K49" i="1"/>
  <c r="L49" i="1"/>
  <c r="A50" i="1"/>
  <c r="B50" i="1"/>
  <c r="C50" i="1"/>
  <c r="D50" i="1"/>
  <c r="E50" i="1"/>
  <c r="F50" i="1"/>
  <c r="G50" i="1"/>
  <c r="H50" i="1"/>
  <c r="I50" i="1"/>
  <c r="J50" i="1"/>
  <c r="K50" i="1"/>
  <c r="L50" i="1"/>
  <c r="A51" i="1"/>
  <c r="B51" i="1"/>
  <c r="C51" i="1"/>
  <c r="D51" i="1"/>
  <c r="E51" i="1"/>
  <c r="F51" i="1"/>
  <c r="G51" i="1"/>
  <c r="H51" i="1"/>
  <c r="I51" i="1"/>
  <c r="J51" i="1"/>
  <c r="K51" i="1"/>
  <c r="L51" i="1"/>
  <c r="A52" i="1"/>
  <c r="B52" i="1"/>
  <c r="C52" i="1"/>
  <c r="D52" i="1"/>
  <c r="E52" i="1"/>
  <c r="F52" i="1"/>
  <c r="G52" i="1"/>
  <c r="H52" i="1"/>
  <c r="I52" i="1"/>
  <c r="J52" i="1"/>
  <c r="K52" i="1"/>
  <c r="L52" i="1"/>
  <c r="A53" i="1"/>
  <c r="B53" i="1"/>
  <c r="C53" i="1"/>
  <c r="D53" i="1"/>
  <c r="E53" i="1"/>
  <c r="F53" i="1"/>
  <c r="G53" i="1"/>
  <c r="H53" i="1"/>
  <c r="I53" i="1"/>
  <c r="J53" i="1"/>
  <c r="K53" i="1"/>
  <c r="L53" i="1"/>
  <c r="A54" i="1"/>
  <c r="B54" i="1"/>
  <c r="C54" i="1"/>
  <c r="D54" i="1"/>
  <c r="E54" i="1"/>
  <c r="F54" i="1"/>
  <c r="G54" i="1"/>
  <c r="H54" i="1"/>
  <c r="I54" i="1"/>
  <c r="J54" i="1"/>
  <c r="K54" i="1"/>
  <c r="L54" i="1"/>
  <c r="A55" i="1"/>
  <c r="B55" i="1"/>
  <c r="C55" i="1"/>
  <c r="D55" i="1"/>
  <c r="E55" i="1"/>
  <c r="F55" i="1"/>
  <c r="G55" i="1"/>
  <c r="H55" i="1"/>
  <c r="I55" i="1"/>
  <c r="J55" i="1"/>
  <c r="K55" i="1"/>
  <c r="L55" i="1"/>
  <c r="A56" i="1"/>
  <c r="B56" i="1"/>
  <c r="C56" i="1"/>
  <c r="D56" i="1"/>
  <c r="E56" i="1"/>
  <c r="F56" i="1"/>
  <c r="G56" i="1"/>
  <c r="H56" i="1"/>
  <c r="I56" i="1"/>
  <c r="J56" i="1"/>
  <c r="K56" i="1"/>
  <c r="L56" i="1"/>
  <c r="A57" i="1"/>
  <c r="B57" i="1"/>
  <c r="C57" i="1"/>
  <c r="D57" i="1"/>
  <c r="E57" i="1"/>
  <c r="F57" i="1"/>
  <c r="G57" i="1"/>
  <c r="H57" i="1"/>
  <c r="I57" i="1"/>
  <c r="J57" i="1"/>
  <c r="K57" i="1"/>
  <c r="L57" i="1"/>
  <c r="A58" i="1"/>
  <c r="B58" i="1"/>
  <c r="C58" i="1"/>
  <c r="D58" i="1"/>
  <c r="E58" i="1"/>
  <c r="F58" i="1"/>
  <c r="G58" i="1"/>
  <c r="H58" i="1"/>
  <c r="I58" i="1"/>
  <c r="J58" i="1"/>
  <c r="K58" i="1"/>
  <c r="L58" i="1"/>
  <c r="A59" i="1"/>
  <c r="B59" i="1"/>
  <c r="C59" i="1"/>
  <c r="D59" i="1"/>
  <c r="E59" i="1"/>
  <c r="F59" i="1"/>
  <c r="G59" i="1"/>
  <c r="H59" i="1"/>
  <c r="I59" i="1"/>
  <c r="J59" i="1"/>
  <c r="K59" i="1"/>
  <c r="L59" i="1"/>
  <c r="A60" i="1"/>
  <c r="B60" i="1"/>
  <c r="C60" i="1"/>
  <c r="D60" i="1"/>
  <c r="E60" i="1"/>
  <c r="F60" i="1"/>
  <c r="G60" i="1"/>
  <c r="H60" i="1"/>
  <c r="I60" i="1"/>
  <c r="J60" i="1"/>
  <c r="K60" i="1"/>
  <c r="L60" i="1"/>
  <c r="A61" i="1"/>
  <c r="B61" i="1"/>
  <c r="C61" i="1"/>
  <c r="D61" i="1"/>
  <c r="E61" i="1"/>
  <c r="F61" i="1"/>
  <c r="G61" i="1"/>
  <c r="H61" i="1"/>
  <c r="I61" i="1"/>
  <c r="J61" i="1"/>
  <c r="K61" i="1"/>
  <c r="L61" i="1"/>
  <c r="A62" i="1"/>
  <c r="B62" i="1"/>
  <c r="C62" i="1"/>
  <c r="D62" i="1"/>
  <c r="E62" i="1"/>
  <c r="F62" i="1"/>
  <c r="G62" i="1"/>
  <c r="H62" i="1"/>
  <c r="I62" i="1"/>
  <c r="J62" i="1"/>
  <c r="K62" i="1"/>
  <c r="L62" i="1"/>
  <c r="A63" i="1"/>
  <c r="B63" i="1"/>
  <c r="C63" i="1"/>
  <c r="D63" i="1"/>
  <c r="E63" i="1"/>
  <c r="F63" i="1"/>
  <c r="G63" i="1"/>
  <c r="H63" i="1"/>
  <c r="I63" i="1"/>
  <c r="J63" i="1"/>
  <c r="K63" i="1"/>
  <c r="L63" i="1"/>
  <c r="A64" i="1"/>
  <c r="B64" i="1"/>
  <c r="C64" i="1"/>
  <c r="D64" i="1"/>
  <c r="E64" i="1"/>
  <c r="F64" i="1"/>
  <c r="G64" i="1"/>
  <c r="H64" i="1"/>
  <c r="I64" i="1"/>
  <c r="J64" i="1"/>
  <c r="K64" i="1"/>
  <c r="L64" i="1"/>
  <c r="A65" i="1"/>
  <c r="B65" i="1"/>
  <c r="C65" i="1"/>
  <c r="D65" i="1"/>
  <c r="E65" i="1"/>
  <c r="F65" i="1"/>
  <c r="G65" i="1"/>
  <c r="H65" i="1"/>
  <c r="I65" i="1"/>
  <c r="J65" i="1"/>
  <c r="K65" i="1"/>
  <c r="L65" i="1"/>
  <c r="A66" i="1"/>
  <c r="B66" i="1"/>
  <c r="C66" i="1"/>
  <c r="D66" i="1"/>
  <c r="E66" i="1"/>
  <c r="F66" i="1"/>
  <c r="G66" i="1"/>
  <c r="H66" i="1"/>
  <c r="I66" i="1"/>
  <c r="J66" i="1"/>
  <c r="K66" i="1"/>
  <c r="L66" i="1"/>
  <c r="A67" i="1"/>
  <c r="B67" i="1"/>
  <c r="C67" i="1"/>
  <c r="D67" i="1"/>
  <c r="E67" i="1"/>
  <c r="F67" i="1"/>
  <c r="G67" i="1"/>
  <c r="H67" i="1"/>
  <c r="I67" i="1"/>
  <c r="J67" i="1"/>
  <c r="K67" i="1"/>
  <c r="L67" i="1"/>
  <c r="A68" i="1"/>
  <c r="B68" i="1"/>
  <c r="C68" i="1"/>
  <c r="D68" i="1"/>
  <c r="E68" i="1"/>
  <c r="F68" i="1"/>
  <c r="G68" i="1"/>
  <c r="H68" i="1"/>
  <c r="I68" i="1"/>
  <c r="J68" i="1"/>
  <c r="K68" i="1"/>
  <c r="L68" i="1"/>
  <c r="A69" i="1"/>
  <c r="B69" i="1"/>
  <c r="C69" i="1"/>
  <c r="D69" i="1"/>
  <c r="E69" i="1"/>
  <c r="F69" i="1"/>
  <c r="G69" i="1"/>
  <c r="H69" i="1"/>
  <c r="I69" i="1"/>
  <c r="J69" i="1"/>
  <c r="K69" i="1"/>
  <c r="L69" i="1"/>
  <c r="A70" i="1"/>
  <c r="B70" i="1"/>
  <c r="C70" i="1"/>
  <c r="D70" i="1"/>
  <c r="E70" i="1"/>
  <c r="F70" i="1"/>
  <c r="G70" i="1"/>
  <c r="H70" i="1"/>
  <c r="I70" i="1"/>
  <c r="J70" i="1"/>
  <c r="K70" i="1"/>
  <c r="L70" i="1"/>
  <c r="A71" i="1"/>
  <c r="B71" i="1"/>
  <c r="C71" i="1"/>
  <c r="D71" i="1"/>
  <c r="E71" i="1"/>
  <c r="F71" i="1"/>
  <c r="G71" i="1"/>
  <c r="H71" i="1"/>
  <c r="I71" i="1"/>
  <c r="J71" i="1"/>
  <c r="K71" i="1"/>
  <c r="L71" i="1"/>
</calcChain>
</file>

<file path=xl/sharedStrings.xml><?xml version="1.0" encoding="utf-8"?>
<sst xmlns="http://schemas.openxmlformats.org/spreadsheetml/2006/main" count="12" uniqueCount="12">
  <si>
    <t>CIG</t>
  </si>
  <si>
    <t>Struttura Proponente</t>
  </si>
  <si>
    <t>Oggetto</t>
  </si>
  <si>
    <t>ANAC Anno</t>
  </si>
  <si>
    <t>Procedura di scelta del contraente</t>
  </si>
  <si>
    <t>Elenco degli Operatori invitati a presentare offerta</t>
  </si>
  <si>
    <t>Aggiudicatario</t>
  </si>
  <si>
    <t>Importo di aggiudicazione</t>
  </si>
  <si>
    <t>Tempi di Completamento dell'opera</t>
  </si>
  <si>
    <t>Importo delle Somme Liquidate</t>
  </si>
  <si>
    <t>Unità associate</t>
  </si>
  <si>
    <t>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</si>
</sst>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workbookViewId="0"/>
  </sheetViews>
  <sheetFormatPr defaultRowHeight="14.4" x14ac:dyDescent="0.3"/>
  <cols>
    <col min="1" max="1" width="11.77734375" bestFit="1" customWidth="1"/>
    <col min="2" max="2" width="46.88671875" bestFit="1" customWidth="1"/>
    <col min="3" max="3" width="118.88671875" bestFit="1" customWidth="1"/>
    <col min="4" max="4" width="11" bestFit="1" customWidth="1"/>
    <col min="5" max="5" width="31" bestFit="1" customWidth="1"/>
    <col min="6" max="7" width="55.44140625" bestFit="1" customWidth="1"/>
    <col min="8" max="8" width="23.5546875" bestFit="1" customWidth="1"/>
    <col min="9" max="9" width="32.88671875" bestFit="1" customWidth="1"/>
    <col min="10" max="10" width="168.5546875" bestFit="1" customWidth="1"/>
    <col min="11" max="11" width="14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t="str">
        <f>"ZD63DB376B"</f>
        <v>ZD63DB376B</v>
      </c>
      <c r="B2" t="str">
        <f t="shared" ref="B2:B33" si="0">"Ordine degli Avvocati di Reggio Emilia - 80014370359"</f>
        <v>Ordine degli Avvocati di Reggio Emilia - 80014370359</v>
      </c>
      <c r="C2" t="str">
        <f>"ADEGUAMENTO MISURE DI SICUREZZA ICT"</f>
        <v>ADEGUAMENTO MISURE DI SICUREZZA ICT</v>
      </c>
      <c r="D2" t="str">
        <f t="shared" ref="D2:D15" si="1">"2023"</f>
        <v>2023</v>
      </c>
      <c r="E2" t="str">
        <f t="shared" ref="E2:E33" si="2">"23-AFFIDAMENTO DIRETTO"</f>
        <v>23-AFFIDAMENTO DIRETTO</v>
      </c>
      <c r="F2" t="str">
        <f>"BLUESCREEN, 02015770353"</f>
        <v>BLUESCREEN, 02015770353</v>
      </c>
      <c r="G2" t="str">
        <f>"BLUESCREEN, 02015770353"</f>
        <v>BLUESCREEN, 02015770353</v>
      </c>
      <c r="H2" t="str">
        <f>"39629,00"</f>
        <v>39629,00</v>
      </c>
      <c r="I2" t="str">
        <f>""</f>
        <v/>
      </c>
      <c r="J2" t="str">
        <f>"2023 - 39629,00"</f>
        <v>2023 - 39629,00</v>
      </c>
      <c r="K2" t="str">
        <f t="shared" ref="K2:K33" si="3">"Tutte le unità"</f>
        <v>Tutte le unità</v>
      </c>
      <c r="L2" t="str">
        <f>""</f>
        <v/>
      </c>
    </row>
    <row r="3" spans="1:12" x14ac:dyDescent="0.3">
      <c r="A3" t="str">
        <f>"Z763D821C2"</f>
        <v>Z763D821C2</v>
      </c>
      <c r="B3" t="str">
        <f t="shared" si="0"/>
        <v>Ordine degli Avvocati di Reggio Emilia - 80014370359</v>
      </c>
      <c r="C3" t="str">
        <f>"PRESIDIO TECNICO PRESSO IL TRIBUNALE AULA 5 PER EVENTO 29-03-2023"</f>
        <v>PRESIDIO TECNICO PRESSO IL TRIBUNALE AULA 5 PER EVENTO 29-03-2023</v>
      </c>
      <c r="D3" t="str">
        <f t="shared" si="1"/>
        <v>2023</v>
      </c>
      <c r="E3" t="str">
        <f t="shared" si="2"/>
        <v>23-AFFIDAMENTO DIRETTO</v>
      </c>
      <c r="F3" t="str">
        <f>"LUTECH SPA, 02824320176"</f>
        <v>LUTECH SPA, 02824320176</v>
      </c>
      <c r="G3" t="str">
        <f>"LUTECH SPA, 02824320176"</f>
        <v>LUTECH SPA, 02824320176</v>
      </c>
      <c r="H3" t="str">
        <f>"480,00"</f>
        <v>480,00</v>
      </c>
      <c r="I3" t="str">
        <f>"29/03/2023 - 29/03/2023"</f>
        <v>29/03/2023 - 29/03/2023</v>
      </c>
      <c r="J3" t="str">
        <f>""</f>
        <v/>
      </c>
      <c r="K3" t="str">
        <f t="shared" si="3"/>
        <v>Tutte le unità</v>
      </c>
      <c r="L3" t="str">
        <f>""</f>
        <v/>
      </c>
    </row>
    <row r="4" spans="1:12" x14ac:dyDescent="0.3">
      <c r="A4" t="str">
        <f>"Z143CFB1D8"</f>
        <v>Z143CFB1D8</v>
      </c>
      <c r="B4" t="str">
        <f t="shared" si="0"/>
        <v>Ordine degli Avvocati di Reggio Emilia - 80014370359</v>
      </c>
      <c r="C4" t="str">
        <f>"Noleggio sala conferenze per corso di formazione"</f>
        <v>Noleggio sala conferenze per corso di formazione</v>
      </c>
      <c r="D4" t="str">
        <f t="shared" si="1"/>
        <v>2023</v>
      </c>
      <c r="E4" t="str">
        <f t="shared" si="2"/>
        <v>23-AFFIDAMENTO DIRETTO</v>
      </c>
      <c r="F4" t="str">
        <f>"CAMERA DI COMMERCIO DI REGGIO EMILIA, 02870690340"</f>
        <v>CAMERA DI COMMERCIO DI REGGIO EMILIA, 02870690340</v>
      </c>
      <c r="G4" t="str">
        <f>"CAMERA DI COMMERCIO DI REGGIO EMILIA, 02870690340"</f>
        <v>CAMERA DI COMMERCIO DI REGGIO EMILIA, 02870690340</v>
      </c>
      <c r="H4" t="str">
        <f>"1640,00"</f>
        <v>1640,00</v>
      </c>
      <c r="I4" t="str">
        <f>""</f>
        <v/>
      </c>
      <c r="J4" t="str">
        <f>"2023 - 615,00 | 2023 - 410,00"</f>
        <v>2023 - 615,00 | 2023 - 410,00</v>
      </c>
      <c r="K4" t="str">
        <f t="shared" si="3"/>
        <v>Tutte le unità</v>
      </c>
      <c r="L4" t="str">
        <f>""</f>
        <v/>
      </c>
    </row>
    <row r="5" spans="1:12" x14ac:dyDescent="0.3">
      <c r="A5" t="str">
        <f>"Z3A3D10586"</f>
        <v>Z3A3D10586</v>
      </c>
      <c r="B5" t="str">
        <f t="shared" si="0"/>
        <v>Ordine degli Avvocati di Reggio Emilia - 80014370359</v>
      </c>
      <c r="C5" t="str">
        <f>"FORNITURA ANNUALE CAFFE'"</f>
        <v>FORNITURA ANNUALE CAFFE'</v>
      </c>
      <c r="D5" t="str">
        <f t="shared" si="1"/>
        <v>2023</v>
      </c>
      <c r="E5" t="str">
        <f t="shared" si="2"/>
        <v>23-AFFIDAMENTO DIRETTO</v>
      </c>
      <c r="F5" t="str">
        <f>"MY COFFEE di Armao Cristian, 02173570355"</f>
        <v>MY COFFEE di Armao Cristian, 02173570355</v>
      </c>
      <c r="G5" t="str">
        <f>"MY COFFEE di Armao Cristian, 02173570355"</f>
        <v>MY COFFEE di Armao Cristian, 02173570355</v>
      </c>
      <c r="H5" t="str">
        <f>"126,60"</f>
        <v>126,60</v>
      </c>
      <c r="I5" t="str">
        <f>""</f>
        <v/>
      </c>
      <c r="J5" t="str">
        <f>"2023 - 126,60"</f>
        <v>2023 - 126,60</v>
      </c>
      <c r="K5" t="str">
        <f t="shared" si="3"/>
        <v>Tutte le unità</v>
      </c>
      <c r="L5" t="str">
        <f>""</f>
        <v/>
      </c>
    </row>
    <row r="6" spans="1:12" x14ac:dyDescent="0.3">
      <c r="A6" t="str">
        <f>"ZE83D7E357"</f>
        <v>ZE83D7E357</v>
      </c>
      <c r="B6" t="str">
        <f t="shared" si="0"/>
        <v>Ordine degli Avvocati di Reggio Emilia - 80014370359</v>
      </c>
      <c r="C6" t="str">
        <f>"Corsi di formazione - pranzo relatori"</f>
        <v>Corsi di formazione - pranzo relatori</v>
      </c>
      <c r="D6" t="str">
        <f t="shared" si="1"/>
        <v>2023</v>
      </c>
      <c r="E6" t="str">
        <f t="shared" si="2"/>
        <v>23-AFFIDAMENTO DIRETTO</v>
      </c>
      <c r="F6" t="str">
        <f>"FINAL DIVISIONE RISTORAZIONE SRL, 02957570357"</f>
        <v>FINAL DIVISIONE RISTORAZIONE SRL, 02957570357</v>
      </c>
      <c r="G6" t="str">
        <f>"FINAL DIVISIONE RISTORAZIONE SRL, 02957570357"</f>
        <v>FINAL DIVISIONE RISTORAZIONE SRL, 02957570357</v>
      </c>
      <c r="H6" t="str">
        <f>"639,34"</f>
        <v>639,34</v>
      </c>
      <c r="I6" t="str">
        <f>""</f>
        <v/>
      </c>
      <c r="J6" t="str">
        <f>""</f>
        <v/>
      </c>
      <c r="K6" t="str">
        <f t="shared" si="3"/>
        <v>Tutte le unità</v>
      </c>
      <c r="L6" t="str">
        <f>""</f>
        <v/>
      </c>
    </row>
    <row r="7" spans="1:12" x14ac:dyDescent="0.3">
      <c r="A7" t="str">
        <f>"Z843D32BE7"</f>
        <v>Z843D32BE7</v>
      </c>
      <c r="B7" t="str">
        <f t="shared" si="0"/>
        <v>Ordine degli Avvocati di Reggio Emilia - 80014370359</v>
      </c>
      <c r="C7" t="str">
        <f>"FORNITURA FOTOCOPIATRICI"</f>
        <v>FORNITURA FOTOCOPIATRICI</v>
      </c>
      <c r="D7" t="str">
        <f t="shared" si="1"/>
        <v>2023</v>
      </c>
      <c r="E7" t="str">
        <f t="shared" si="2"/>
        <v>23-AFFIDAMENTO DIRETTO</v>
      </c>
      <c r="F7" t="str">
        <f>"WORKCOM S.R.L., 01970210355"</f>
        <v>WORKCOM S.R.L., 01970210355</v>
      </c>
      <c r="G7" t="str">
        <f>"WORKCOM S.R.L., 01970210355"</f>
        <v>WORKCOM S.R.L., 01970210355</v>
      </c>
      <c r="H7" t="str">
        <f>"27090,00"</f>
        <v>27090,00</v>
      </c>
      <c r="I7" t="str">
        <f>""</f>
        <v/>
      </c>
      <c r="J7" t="str">
        <f>"2023 - 27090,00"</f>
        <v>2023 - 27090,00</v>
      </c>
      <c r="K7" t="str">
        <f t="shared" si="3"/>
        <v>Tutte le unità</v>
      </c>
      <c r="L7" t="str">
        <f>""</f>
        <v/>
      </c>
    </row>
    <row r="8" spans="1:12" x14ac:dyDescent="0.3">
      <c r="A8" t="str">
        <f>"ZBD3D24430"</f>
        <v>ZBD3D24430</v>
      </c>
      <c r="B8" t="str">
        <f t="shared" si="0"/>
        <v>Ordine degli Avvocati di Reggio Emilia - 80014370359</v>
      </c>
      <c r="C8" t="str">
        <f>"PERNOTTAMENTO DELEGATI CONGRESSO CNF 2023"</f>
        <v>PERNOTTAMENTO DELEGATI CONGRESSO CNF 2023</v>
      </c>
      <c r="D8" t="str">
        <f t="shared" si="1"/>
        <v>2023</v>
      </c>
      <c r="E8" t="str">
        <f t="shared" si="2"/>
        <v>23-AFFIDAMENTO DIRETTO</v>
      </c>
      <c r="F8" t="str">
        <f>"TH GESTIONI SPA, 04059490286"</f>
        <v>TH GESTIONI SPA, 04059490286</v>
      </c>
      <c r="G8" t="str">
        <f>"TH GESTIONI SPA, 04059490286"</f>
        <v>TH GESTIONI SPA, 04059490286</v>
      </c>
      <c r="H8" t="str">
        <f>"976,36"</f>
        <v>976,36</v>
      </c>
      <c r="I8" t="str">
        <f>""</f>
        <v/>
      </c>
      <c r="J8" t="str">
        <f>"2023 - 976,36"</f>
        <v>2023 - 976,36</v>
      </c>
      <c r="K8" t="str">
        <f t="shared" si="3"/>
        <v>Tutte le unità</v>
      </c>
      <c r="L8" t="str">
        <f>""</f>
        <v/>
      </c>
    </row>
    <row r="9" spans="1:12" x14ac:dyDescent="0.3">
      <c r="A9" t="str">
        <f>"ZB73D7E9BE"</f>
        <v>ZB73D7E9BE</v>
      </c>
      <c r="B9" t="str">
        <f t="shared" si="0"/>
        <v>Ordine degli Avvocati di Reggio Emilia - 80014370359</v>
      </c>
      <c r="C9" t="str">
        <f>"BENI DI CONFORTO CONSIGLIERI"</f>
        <v>BENI DI CONFORTO CONSIGLIERI</v>
      </c>
      <c r="D9" t="str">
        <f t="shared" si="1"/>
        <v>2023</v>
      </c>
      <c r="E9" t="str">
        <f t="shared" si="2"/>
        <v>23-AFFIDAMENTO DIRETTO</v>
      </c>
      <c r="F9" t="str">
        <f>"ROZZI GIANLUCA, 02021960352"</f>
        <v>ROZZI GIANLUCA, 02021960352</v>
      </c>
      <c r="G9" t="str">
        <f>"ROZZI GIANLUCA, 02021960352"</f>
        <v>ROZZI GIANLUCA, 02021960352</v>
      </c>
      <c r="H9" t="str">
        <f>"100,00"</f>
        <v>100,00</v>
      </c>
      <c r="I9" t="str">
        <f>""</f>
        <v/>
      </c>
      <c r="J9" t="str">
        <f>"2023 - 92,73"</f>
        <v>2023 - 92,73</v>
      </c>
      <c r="K9" t="str">
        <f t="shared" si="3"/>
        <v>Tutte le unità</v>
      </c>
      <c r="L9" t="str">
        <f>""</f>
        <v/>
      </c>
    </row>
    <row r="10" spans="1:12" x14ac:dyDescent="0.3">
      <c r="A10" t="str">
        <f>"Z513D5A63F"</f>
        <v>Z513D5A63F</v>
      </c>
      <c r="B10" t="str">
        <f t="shared" si="0"/>
        <v>Ordine degli Avvocati di Reggio Emilia - 80014370359</v>
      </c>
      <c r="C10" t="str">
        <f>"SERVIZIO INVIO MAIL MASSIVE"</f>
        <v>SERVIZIO INVIO MAIL MASSIVE</v>
      </c>
      <c r="D10" t="str">
        <f t="shared" si="1"/>
        <v>2023</v>
      </c>
      <c r="E10" t="str">
        <f t="shared" si="2"/>
        <v>23-AFFIDAMENTO DIRETTO</v>
      </c>
      <c r="F10" t="str">
        <f>"MAIL UP, 09480090159"</f>
        <v>MAIL UP, 09480090159</v>
      </c>
      <c r="G10" t="str">
        <f>"MAIL UP, 09480090159"</f>
        <v>MAIL UP, 09480090159</v>
      </c>
      <c r="H10" t="str">
        <f>"1613,00"</f>
        <v>1613,00</v>
      </c>
      <c r="I10" t="str">
        <f>""</f>
        <v/>
      </c>
      <c r="J10" t="str">
        <f>"2023 - 1613,00"</f>
        <v>2023 - 1613,00</v>
      </c>
      <c r="K10" t="str">
        <f t="shared" si="3"/>
        <v>Tutte le unità</v>
      </c>
      <c r="L10" t="str">
        <f>""</f>
        <v/>
      </c>
    </row>
    <row r="11" spans="1:12" x14ac:dyDescent="0.3">
      <c r="A11" t="str">
        <f>"ZFA3D1C18F"</f>
        <v>ZFA3D1C18F</v>
      </c>
      <c r="B11" t="str">
        <f t="shared" si="0"/>
        <v>Ordine degli Avvocati di Reggio Emilia - 80014370359</v>
      </c>
      <c r="C11" t="str">
        <f>"PERNOTTAMENTO CORSO DI FORMAZIONE"</f>
        <v>PERNOTTAMENTO CORSO DI FORMAZIONE</v>
      </c>
      <c r="D11" t="str">
        <f t="shared" si="1"/>
        <v>2023</v>
      </c>
      <c r="E11" t="str">
        <f t="shared" si="2"/>
        <v>23-AFFIDAMENTO DIRETTO</v>
      </c>
      <c r="F11" t="str">
        <f>"I.TER SPA, 00348460346"</f>
        <v>I.TER SPA, 00348460346</v>
      </c>
      <c r="G11" t="str">
        <f>"I.TER SPA, 00348460346"</f>
        <v>I.TER SPA, 00348460346</v>
      </c>
      <c r="H11" t="str">
        <f>"152,50"</f>
        <v>152,50</v>
      </c>
      <c r="I11" t="str">
        <f>""</f>
        <v/>
      </c>
      <c r="J11" t="str">
        <f>""</f>
        <v/>
      </c>
      <c r="K11" t="str">
        <f t="shared" si="3"/>
        <v>Tutte le unità</v>
      </c>
      <c r="L11" t="str">
        <f>""</f>
        <v/>
      </c>
    </row>
    <row r="12" spans="1:12" x14ac:dyDescent="0.3">
      <c r="A12" t="str">
        <f>"Z993D16C96"</f>
        <v>Z993D16C96</v>
      </c>
      <c r="B12" t="str">
        <f t="shared" si="0"/>
        <v>Ordine degli Avvocati di Reggio Emilia - 80014370359</v>
      </c>
      <c r="C12" t="str">
        <f>"Corsi di formazione - pranzo relatori"</f>
        <v>Corsi di formazione - pranzo relatori</v>
      </c>
      <c r="D12" t="str">
        <f t="shared" si="1"/>
        <v>2023</v>
      </c>
      <c r="E12" t="str">
        <f t="shared" si="2"/>
        <v>23-AFFIDAMENTO DIRETTO</v>
      </c>
      <c r="F12" t="str">
        <f>"I Love My Kitchen srl, 02869910352"</f>
        <v>I Love My Kitchen srl, 02869910352</v>
      </c>
      <c r="G12" t="str">
        <f>"I Love My Kitchen srl, 02869910352"</f>
        <v>I Love My Kitchen srl, 02869910352</v>
      </c>
      <c r="H12" t="str">
        <f>"656,36"</f>
        <v>656,36</v>
      </c>
      <c r="I12" t="str">
        <f>""</f>
        <v/>
      </c>
      <c r="J12" t="str">
        <f>"2023 - 656,36"</f>
        <v>2023 - 656,36</v>
      </c>
      <c r="K12" t="str">
        <f t="shared" si="3"/>
        <v>Tutte le unità</v>
      </c>
      <c r="L12" t="str">
        <f>""</f>
        <v/>
      </c>
    </row>
    <row r="13" spans="1:12" x14ac:dyDescent="0.3">
      <c r="A13" t="str">
        <f>"Z4E3D1ACB1"</f>
        <v>Z4E3D1ACB1</v>
      </c>
      <c r="B13" t="str">
        <f t="shared" si="0"/>
        <v>Ordine degli Avvocati di Reggio Emilia - 80014370359</v>
      </c>
      <c r="C13" t="str">
        <f>"PERNOTTAMENTO CONGRESSO AIGA"</f>
        <v>PERNOTTAMENTO CONGRESSO AIGA</v>
      </c>
      <c r="D13" t="str">
        <f t="shared" si="1"/>
        <v>2023</v>
      </c>
      <c r="E13" t="str">
        <f t="shared" si="2"/>
        <v>23-AFFIDAMENTO DIRETTO</v>
      </c>
      <c r="F13" t="str">
        <f>"GATTO BIANCO CASA DEI VENTI, 07784230729"</f>
        <v>GATTO BIANCO CASA DEI VENTI, 07784230729</v>
      </c>
      <c r="G13" t="str">
        <f>"GATTO BIANCO CASA DEI VENTI, 07784230729"</f>
        <v>GATTO BIANCO CASA DEI VENTI, 07784230729</v>
      </c>
      <c r="H13" t="str">
        <f>"480,72"</f>
        <v>480,72</v>
      </c>
      <c r="I13" t="str">
        <f>"14/11/2023"</f>
        <v>14/11/2023</v>
      </c>
      <c r="J13" t="str">
        <f>"2023 - 480,72"</f>
        <v>2023 - 480,72</v>
      </c>
      <c r="K13" t="str">
        <f t="shared" si="3"/>
        <v>Tutte le unità</v>
      </c>
      <c r="L13" t="str">
        <f>""</f>
        <v/>
      </c>
    </row>
    <row r="14" spans="1:12" x14ac:dyDescent="0.3">
      <c r="A14" t="str">
        <f>"ZF93C56C2E"</f>
        <v>ZF93C56C2E</v>
      </c>
      <c r="B14" t="str">
        <f t="shared" si="0"/>
        <v>Ordine degli Avvocati di Reggio Emilia - 80014370359</v>
      </c>
      <c r="C14" t="str">
        <f>"SOFTWARE TRASPARENZA PA"</f>
        <v>SOFTWARE TRASPARENZA PA</v>
      </c>
      <c r="D14" t="str">
        <f t="shared" si="1"/>
        <v>2023</v>
      </c>
      <c r="E14" t="str">
        <f t="shared" si="2"/>
        <v>23-AFFIDAMENTO DIRETTO</v>
      </c>
      <c r="F14" t="str">
        <f>"DIGITALPA SRL, 03553050927"</f>
        <v>DIGITALPA SRL, 03553050927</v>
      </c>
      <c r="G14" t="str">
        <f>"DIGITALPA SRL, 03553050927"</f>
        <v>DIGITALPA SRL, 03553050927</v>
      </c>
      <c r="H14" t="str">
        <f>"2350,00"</f>
        <v>2350,00</v>
      </c>
      <c r="I14" t="str">
        <f>""</f>
        <v/>
      </c>
      <c r="J14" t="str">
        <f>"2023 - 2350,00"</f>
        <v>2023 - 2350,00</v>
      </c>
      <c r="K14" t="str">
        <f t="shared" si="3"/>
        <v>Tutte le unità</v>
      </c>
      <c r="L14" t="str">
        <f>""</f>
        <v/>
      </c>
    </row>
    <row r="15" spans="1:12" x14ac:dyDescent="0.3">
      <c r="A15" t="str">
        <f>"Z6F3CA4E57"</f>
        <v>Z6F3CA4E57</v>
      </c>
      <c r="B15" t="str">
        <f t="shared" si="0"/>
        <v>Ordine degli Avvocati di Reggio Emilia - 80014370359</v>
      </c>
      <c r="C15" t="str">
        <f>"Assistenza Software e PC - 20 ore"</f>
        <v>Assistenza Software e PC - 20 ore</v>
      </c>
      <c r="D15" t="str">
        <f t="shared" si="1"/>
        <v>2023</v>
      </c>
      <c r="E15" t="str">
        <f t="shared" si="2"/>
        <v>23-AFFIDAMENTO DIRETTO</v>
      </c>
      <c r="F15" t="str">
        <f>"BLUESCREEN, 02015770353"</f>
        <v>BLUESCREEN, 02015770353</v>
      </c>
      <c r="G15" t="str">
        <f>"BLUESCREEN, 02015770353"</f>
        <v>BLUESCREEN, 02015770353</v>
      </c>
      <c r="H15" t="str">
        <f>"1170,00"</f>
        <v>1170,00</v>
      </c>
      <c r="I15" t="str">
        <f>""</f>
        <v/>
      </c>
      <c r="J15" t="str">
        <f>"2023 - 1170,00"</f>
        <v>2023 - 1170,00</v>
      </c>
      <c r="K15" t="str">
        <f t="shared" si="3"/>
        <v>Tutte le unità</v>
      </c>
      <c r="L15" t="str">
        <f>""</f>
        <v/>
      </c>
    </row>
    <row r="16" spans="1:12" x14ac:dyDescent="0.3">
      <c r="A16" t="str">
        <f>"Z573CEC305"</f>
        <v>Z573CEC305</v>
      </c>
      <c r="B16" t="str">
        <f t="shared" si="0"/>
        <v>Ordine degli Avvocati di Reggio Emilia - 80014370359</v>
      </c>
      <c r="C16" t="str">
        <f>"PROGRAMMA CONTABILITA'"</f>
        <v>PROGRAMMA CONTABILITA'</v>
      </c>
      <c r="D16" t="str">
        <f>"2024"</f>
        <v>2024</v>
      </c>
      <c r="E16" t="str">
        <f t="shared" si="2"/>
        <v>23-AFFIDAMENTO DIRETTO</v>
      </c>
      <c r="F16" t="str">
        <f>"VISURA SPA, 05338771008"</f>
        <v>VISURA SPA, 05338771008</v>
      </c>
      <c r="G16" t="str">
        <f>"VISURA SPA, 05338771008"</f>
        <v>VISURA SPA, 05338771008</v>
      </c>
      <c r="H16" t="str">
        <f>"1253,02"</f>
        <v>1253,02</v>
      </c>
      <c r="I16" t="str">
        <f>""</f>
        <v/>
      </c>
      <c r="J16" t="str">
        <f>"2023 - 1253,02"</f>
        <v>2023 - 1253,02</v>
      </c>
      <c r="K16" t="str">
        <f t="shared" si="3"/>
        <v>Tutte le unità</v>
      </c>
      <c r="L16" t="str">
        <f>""</f>
        <v/>
      </c>
    </row>
    <row r="17" spans="1:12" x14ac:dyDescent="0.3">
      <c r="A17" t="str">
        <f>"Z9C3CEC00C"</f>
        <v>Z9C3CEC00C</v>
      </c>
      <c r="B17" t="str">
        <f t="shared" si="0"/>
        <v>Ordine degli Avvocati di Reggio Emilia - 80014370359</v>
      </c>
      <c r="C17" t="str">
        <f>"Assistenza Tecnica centralino Telefonico"</f>
        <v>Assistenza Tecnica centralino Telefonico</v>
      </c>
      <c r="D17" t="str">
        <f t="shared" ref="D17:D48" si="4">"2023"</f>
        <v>2023</v>
      </c>
      <c r="E17" t="str">
        <f t="shared" si="2"/>
        <v>23-AFFIDAMENTO DIRETTO</v>
      </c>
      <c r="F17" t="str">
        <f>"LANTECH LONGWAVE SPA, 01922820350"</f>
        <v>LANTECH LONGWAVE SPA, 01922820350</v>
      </c>
      <c r="G17" t="str">
        <f>"LANTECH LONGWAVE SPA, 01922820350"</f>
        <v>LANTECH LONGWAVE SPA, 01922820350</v>
      </c>
      <c r="H17" t="str">
        <f>"250,00"</f>
        <v>250,00</v>
      </c>
      <c r="I17" t="str">
        <f>""</f>
        <v/>
      </c>
      <c r="J17" t="str">
        <f>"2023 - 250,00"</f>
        <v>2023 - 250,00</v>
      </c>
      <c r="K17" t="str">
        <f t="shared" si="3"/>
        <v>Tutte le unità</v>
      </c>
      <c r="L17" t="str">
        <f>""</f>
        <v/>
      </c>
    </row>
    <row r="18" spans="1:12" x14ac:dyDescent="0.3">
      <c r="A18" t="str">
        <f>"Z233CB477C"</f>
        <v>Z233CB477C</v>
      </c>
      <c r="B18" t="str">
        <f t="shared" si="0"/>
        <v>Ordine degli Avvocati di Reggio Emilia - 80014370359</v>
      </c>
      <c r="C18" t="str">
        <f>"Compenso Componente Commissione esaminatrice concorso - delib 20/02/2023"</f>
        <v>Compenso Componente Commissione esaminatrice concorso - delib 20/02/2023</v>
      </c>
      <c r="D18" t="str">
        <f t="shared" si="4"/>
        <v>2023</v>
      </c>
      <c r="E18" t="str">
        <f t="shared" si="2"/>
        <v>23-AFFIDAMENTO DIRETTO</v>
      </c>
      <c r="F18" t="str">
        <f>"Studio Associato Fantini Valerio, 02198210359"</f>
        <v>Studio Associato Fantini Valerio, 02198210359</v>
      </c>
      <c r="G18" t="str">
        <f>"Studio Associato Fantini Valerio, 02198210359"</f>
        <v>Studio Associato Fantini Valerio, 02198210359</v>
      </c>
      <c r="H18" t="str">
        <f>"1496,32"</f>
        <v>1496,32</v>
      </c>
      <c r="I18" t="str">
        <f>""</f>
        <v/>
      </c>
      <c r="J18" t="str">
        <f>"2023 - 1496,32"</f>
        <v>2023 - 1496,32</v>
      </c>
      <c r="K18" t="str">
        <f t="shared" si="3"/>
        <v>Tutte le unità</v>
      </c>
      <c r="L18" t="str">
        <f>""</f>
        <v/>
      </c>
    </row>
    <row r="19" spans="1:12" x14ac:dyDescent="0.3">
      <c r="A19" t="str">
        <f>"Z503CB46DE"</f>
        <v>Z503CB46DE</v>
      </c>
      <c r="B19" t="str">
        <f t="shared" si="0"/>
        <v>Ordine degli Avvocati di Reggio Emilia - 80014370359</v>
      </c>
      <c r="C19" t="str">
        <f>"Compenso Componente Commissione esaminatrice concorso - delib 20/02/2023"</f>
        <v>Compenso Componente Commissione esaminatrice concorso - delib 20/02/2023</v>
      </c>
      <c r="D19" t="str">
        <f t="shared" si="4"/>
        <v>2023</v>
      </c>
      <c r="E19" t="str">
        <f t="shared" si="2"/>
        <v>23-AFFIDAMENTO DIRETTO</v>
      </c>
      <c r="F19" t="str">
        <f>"Vetro Maria Pia, VTRMRP66A62H501V"</f>
        <v>Vetro Maria Pia, VTRMRP66A62H501V</v>
      </c>
      <c r="G19" t="str">
        <f>"Vetro Maria Pia, VTRMRP66A62H501V"</f>
        <v>Vetro Maria Pia, VTRMRP66A62H501V</v>
      </c>
      <c r="H19" t="str">
        <f>"985,33"</f>
        <v>985,33</v>
      </c>
      <c r="I19" t="str">
        <f>""</f>
        <v/>
      </c>
      <c r="J19" t="str">
        <f>"2023 - 985,33"</f>
        <v>2023 - 985,33</v>
      </c>
      <c r="K19" t="str">
        <f t="shared" si="3"/>
        <v>Tutte le unità</v>
      </c>
      <c r="L19" t="str">
        <f>""</f>
        <v/>
      </c>
    </row>
    <row r="20" spans="1:12" x14ac:dyDescent="0.3">
      <c r="A20" t="str">
        <f>"ZE93C40EBE"</f>
        <v>ZE93C40EBE</v>
      </c>
      <c r="B20" t="str">
        <f t="shared" si="0"/>
        <v>Ordine degli Avvocati di Reggio Emilia - 80014370359</v>
      </c>
      <c r="C20" t="str">
        <f>"VISITA MEDICA GENERALE DIPENDENTE"</f>
        <v>VISITA MEDICA GENERALE DIPENDENTE</v>
      </c>
      <c r="D20" t="str">
        <f t="shared" si="4"/>
        <v>2023</v>
      </c>
      <c r="E20" t="str">
        <f t="shared" si="2"/>
        <v>23-AFFIDAMENTO DIRETTO</v>
      </c>
      <c r="F20" t="str">
        <f>"CHECK-UP SERVICE SRL, 01468750359"</f>
        <v>CHECK-UP SERVICE SRL, 01468750359</v>
      </c>
      <c r="G20" t="str">
        <f>"CHECK-UP SERVICE SRL, 01468750359"</f>
        <v>CHECK-UP SERVICE SRL, 01468750359</v>
      </c>
      <c r="H20" t="str">
        <f>"43,12"</f>
        <v>43,12</v>
      </c>
      <c r="I20" t="str">
        <f>"03/07/2023"</f>
        <v>03/07/2023</v>
      </c>
      <c r="J20" t="str">
        <f>"2023 - 43,12"</f>
        <v>2023 - 43,12</v>
      </c>
      <c r="K20" t="str">
        <f t="shared" si="3"/>
        <v>Tutte le unità</v>
      </c>
      <c r="L20" t="str">
        <f>""</f>
        <v/>
      </c>
    </row>
    <row r="21" spans="1:12" x14ac:dyDescent="0.3">
      <c r="A21" t="str">
        <f>"ZE73BDA1F5"</f>
        <v>ZE73BDA1F5</v>
      </c>
      <c r="B21" t="str">
        <f t="shared" si="0"/>
        <v>Ordine degli Avvocati di Reggio Emilia - 80014370359</v>
      </c>
      <c r="C21" t="str">
        <f>"RINFRESCO TOGHE D'ORO - del 3 Luglio 2023"</f>
        <v>RINFRESCO TOGHE D'ORO - del 3 Luglio 2023</v>
      </c>
      <c r="D21" t="str">
        <f t="shared" si="4"/>
        <v>2023</v>
      </c>
      <c r="E21" t="str">
        <f t="shared" si="2"/>
        <v>23-AFFIDAMENTO DIRETTO</v>
      </c>
      <c r="F21" t="str">
        <f>"ROZZI GIANLUCA, RZZGLC70R30H223O"</f>
        <v>ROZZI GIANLUCA, RZZGLC70R30H223O</v>
      </c>
      <c r="G21" t="str">
        <f>""</f>
        <v/>
      </c>
      <c r="H21" t="str">
        <f>"154,55"</f>
        <v>154,55</v>
      </c>
      <c r="I21" t="str">
        <f>""</f>
        <v/>
      </c>
      <c r="J21" t="str">
        <f>"2023 - 154,55"</f>
        <v>2023 - 154,55</v>
      </c>
      <c r="K21" t="str">
        <f t="shared" si="3"/>
        <v>Tutte le unità</v>
      </c>
      <c r="L21" t="str">
        <f>""</f>
        <v/>
      </c>
    </row>
    <row r="22" spans="1:12" x14ac:dyDescent="0.3">
      <c r="A22" t="str">
        <f>"ZEC3BCD954"</f>
        <v>ZEC3BCD954</v>
      </c>
      <c r="B22" t="str">
        <f t="shared" si="0"/>
        <v>Ordine degli Avvocati di Reggio Emilia - 80014370359</v>
      </c>
      <c r="C22" t="str">
        <f>"Cena avvocati al Pianderna - 21 giugno 2023"</f>
        <v>Cena avvocati al Pianderna - 21 giugno 2023</v>
      </c>
      <c r="D22" t="str">
        <f t="shared" si="4"/>
        <v>2023</v>
      </c>
      <c r="E22" t="str">
        <f t="shared" si="2"/>
        <v>23-AFFIDAMENTO DIRETTO</v>
      </c>
      <c r="F22" t="str">
        <f>"RTP SRL SOCIETA AGRICOLA, 02354590354"</f>
        <v>RTP SRL SOCIETA AGRICOLA, 02354590354</v>
      </c>
      <c r="G22" t="str">
        <f>"RTP SRL SOCIETA AGRICOLA, 02354590354"</f>
        <v>RTP SRL SOCIETA AGRICOLA, 02354590354</v>
      </c>
      <c r="H22" t="str">
        <f>"545,45"</f>
        <v>545,45</v>
      </c>
      <c r="I22" t="str">
        <f>""</f>
        <v/>
      </c>
      <c r="J22" t="str">
        <f>"2023 - 545,45"</f>
        <v>2023 - 545,45</v>
      </c>
      <c r="K22" t="str">
        <f t="shared" si="3"/>
        <v>Tutte le unità</v>
      </c>
      <c r="L22" t="str">
        <f>""</f>
        <v/>
      </c>
    </row>
    <row r="23" spans="1:12" x14ac:dyDescent="0.3">
      <c r="A23" t="str">
        <f>"ZCB3BCDE29"</f>
        <v>ZCB3BCDE29</v>
      </c>
      <c r="B23" t="str">
        <f t="shared" si="0"/>
        <v>Ordine degli Avvocati di Reggio Emilia - 80014370359</v>
      </c>
      <c r="C23" t="str">
        <f>"Servizio Fotografico - Eventi istituzionali"</f>
        <v>Servizio Fotografico - Eventi istituzionali</v>
      </c>
      <c r="D23" t="str">
        <f t="shared" si="4"/>
        <v>2023</v>
      </c>
      <c r="E23" t="str">
        <f t="shared" si="2"/>
        <v>23-AFFIDAMENTO DIRETTO</v>
      </c>
      <c r="F23" t="str">
        <f>"FOTO ARTIOLI DI ROSSI STEFANO, 02996050353"</f>
        <v>FOTO ARTIOLI DI ROSSI STEFANO, 02996050353</v>
      </c>
      <c r="G23" t="str">
        <f>"FOTO ARTIOLI DI ROSSI STEFANO, 02996050353"</f>
        <v>FOTO ARTIOLI DI ROSSI STEFANO, 02996050353</v>
      </c>
      <c r="H23" t="str">
        <f>"80,00"</f>
        <v>80,00</v>
      </c>
      <c r="I23" t="str">
        <f>""</f>
        <v/>
      </c>
      <c r="J23" t="str">
        <f>"2023 - 80,00"</f>
        <v>2023 - 80,00</v>
      </c>
      <c r="K23" t="str">
        <f t="shared" si="3"/>
        <v>Tutte le unità</v>
      </c>
      <c r="L23" t="str">
        <f>""</f>
        <v/>
      </c>
    </row>
    <row r="24" spans="1:12" x14ac:dyDescent="0.3">
      <c r="A24" t="str">
        <f>"Z563BCD337"</f>
        <v>Z563BCD337</v>
      </c>
      <c r="B24" t="str">
        <f t="shared" si="0"/>
        <v>Ordine degli Avvocati di Reggio Emilia - 80014370359</v>
      </c>
      <c r="C24" t="str">
        <f>"Pubblicazione Necrologio Dott.ssa Briguglio"</f>
        <v>Pubblicazione Necrologio Dott.ssa Briguglio</v>
      </c>
      <c r="D24" t="str">
        <f t="shared" si="4"/>
        <v>2023</v>
      </c>
      <c r="E24" t="str">
        <f t="shared" si="2"/>
        <v>23-AFFIDAMENTO DIRETTO</v>
      </c>
      <c r="F24" t="str">
        <f>"CROCE VERDE ONORANZE FUNEBRI SAS, 02676700350"</f>
        <v>CROCE VERDE ONORANZE FUNEBRI SAS, 02676700350</v>
      </c>
      <c r="G24" t="str">
        <f>"CROCE VERDE ONORANZE FUNEBRI SAS, 02676700350"</f>
        <v>CROCE VERDE ONORANZE FUNEBRI SAS, 02676700350</v>
      </c>
      <c r="H24" t="str">
        <f>"342,00"</f>
        <v>342,00</v>
      </c>
      <c r="I24" t="str">
        <f>""</f>
        <v/>
      </c>
      <c r="J24" t="str">
        <f>"2023 - 342,00"</f>
        <v>2023 - 342,00</v>
      </c>
      <c r="K24" t="str">
        <f t="shared" si="3"/>
        <v>Tutte le unità</v>
      </c>
      <c r="L24" t="str">
        <f>""</f>
        <v/>
      </c>
    </row>
    <row r="25" spans="1:12" x14ac:dyDescent="0.3">
      <c r="A25" t="str">
        <f>"Z473B802A5"</f>
        <v>Z473B802A5</v>
      </c>
      <c r="B25" t="str">
        <f t="shared" si="0"/>
        <v>Ordine degli Avvocati di Reggio Emilia - 80014370359</v>
      </c>
      <c r="C25" t="str">
        <f>"INCARICO REVISORE CONTI ANNO 2023"</f>
        <v>INCARICO REVISORE CONTI ANNO 2023</v>
      </c>
      <c r="D25" t="str">
        <f t="shared" si="4"/>
        <v>2023</v>
      </c>
      <c r="E25" t="str">
        <f t="shared" si="2"/>
        <v>23-AFFIDAMENTO DIRETTO</v>
      </c>
      <c r="F25" t="str">
        <f>"AVV. VITTORIO GUIDETTI, 00613380351"</f>
        <v>AVV. VITTORIO GUIDETTI, 00613380351</v>
      </c>
      <c r="G25" t="str">
        <f>"AVV. VITTORIO GUIDETTI, 00613380351"</f>
        <v>AVV. VITTORIO GUIDETTI, 00613380351</v>
      </c>
      <c r="H25" t="str">
        <f>"5000,00"</f>
        <v>5000,00</v>
      </c>
      <c r="I25" t="str">
        <f>"09/06/2023"</f>
        <v>09/06/2023</v>
      </c>
      <c r="J25" t="str">
        <f>"2023 - 4916,48"</f>
        <v>2023 - 4916,48</v>
      </c>
      <c r="K25" t="str">
        <f t="shared" si="3"/>
        <v>Tutte le unità</v>
      </c>
      <c r="L25" t="str">
        <f>""</f>
        <v/>
      </c>
    </row>
    <row r="26" spans="1:12" x14ac:dyDescent="0.3">
      <c r="A26" t="str">
        <f>"Z6A3B67820"</f>
        <v>Z6A3B67820</v>
      </c>
      <c r="B26" t="str">
        <f t="shared" si="0"/>
        <v>Ordine degli Avvocati di Reggio Emilia - 80014370359</v>
      </c>
      <c r="C26" t="str">
        <f>"Canone portale CTU 2023"</f>
        <v>Canone portale CTU 2023</v>
      </c>
      <c r="D26" t="str">
        <f t="shared" si="4"/>
        <v>2023</v>
      </c>
      <c r="E26" t="str">
        <f t="shared" si="2"/>
        <v>23-AFFIDAMENTO DIRETTO</v>
      </c>
      <c r="F26" t="str">
        <f>"REGGIO EMILIA FOND. INGEGNERI, 02577090356"</f>
        <v>REGGIO EMILIA FOND. INGEGNERI, 02577090356</v>
      </c>
      <c r="G26" t="str">
        <f>"REGGIO EMILIA FOND. INGEGNERI, 02577090356"</f>
        <v>REGGIO EMILIA FOND. INGEGNERI, 02577090356</v>
      </c>
      <c r="H26" t="str">
        <f>"394,49"</f>
        <v>394,49</v>
      </c>
      <c r="I26" t="str">
        <f>"01/06/2023"</f>
        <v>01/06/2023</v>
      </c>
      <c r="J26" t="str">
        <f>"2023 - 394,49"</f>
        <v>2023 - 394,49</v>
      </c>
      <c r="K26" t="str">
        <f t="shared" si="3"/>
        <v>Tutte le unità</v>
      </c>
      <c r="L26" t="str">
        <f>""</f>
        <v/>
      </c>
    </row>
    <row r="27" spans="1:12" x14ac:dyDescent="0.3">
      <c r="A27" t="str">
        <f>"Z103B638A6"</f>
        <v>Z103B638A6</v>
      </c>
      <c r="B27" t="str">
        <f t="shared" si="0"/>
        <v>Ordine degli Avvocati di Reggio Emilia - 80014370359</v>
      </c>
      <c r="C27" t="str">
        <f>"ABBONAMENTO ANNUALE AL GIORNALE IL RESTO DEL CARLINO"</f>
        <v>ABBONAMENTO ANNUALE AL GIORNALE IL RESTO DEL CARLINO</v>
      </c>
      <c r="D27" t="str">
        <f t="shared" si="4"/>
        <v>2023</v>
      </c>
      <c r="E27" t="str">
        <f t="shared" si="2"/>
        <v>23-AFFIDAMENTO DIRETTO</v>
      </c>
      <c r="F27" t="str">
        <f>"EDITORIALE NAZIONALE SRL, 03429080371"</f>
        <v>EDITORIALE NAZIONALE SRL, 03429080371</v>
      </c>
      <c r="G27" t="str">
        <f>"EDITORIALE NAZIONALE SRL, 03429080371"</f>
        <v>EDITORIALE NAZIONALE SRL, 03429080371</v>
      </c>
      <c r="H27" t="str">
        <f>"402,00"</f>
        <v>402,00</v>
      </c>
      <c r="I27" t="str">
        <f>"31/05/2023"</f>
        <v>31/05/2023</v>
      </c>
      <c r="J27" t="str">
        <f>""</f>
        <v/>
      </c>
      <c r="K27" t="str">
        <f t="shared" si="3"/>
        <v>Tutte le unità</v>
      </c>
      <c r="L27" t="str">
        <f>""</f>
        <v/>
      </c>
    </row>
    <row r="28" spans="1:12" x14ac:dyDescent="0.3">
      <c r="A28" t="str">
        <f>"Z3B3B587FD"</f>
        <v>Z3B3B587FD</v>
      </c>
      <c r="B28" t="str">
        <f t="shared" si="0"/>
        <v>Ordine degli Avvocati di Reggio Emilia - 80014370359</v>
      </c>
      <c r="C28" t="str">
        <f>"ACQUISTO N. 3 PAIA DI CORDONI IN ARGENTO E NERO E N. 3 PAIA ORO E NERO"</f>
        <v>ACQUISTO N. 3 PAIA DI CORDONI IN ARGENTO E NERO E N. 3 PAIA ORO E NERO</v>
      </c>
      <c r="D28" t="str">
        <f t="shared" si="4"/>
        <v>2023</v>
      </c>
      <c r="E28" t="str">
        <f t="shared" si="2"/>
        <v>23-AFFIDAMENTO DIRETTO</v>
      </c>
      <c r="F28" t="str">
        <f>"EUROTOGA SAS, 05221461006"</f>
        <v>EUROTOGA SAS, 05221461006</v>
      </c>
      <c r="G28" t="str">
        <f>"EUROTOGA SAS, 05221461006"</f>
        <v>EUROTOGA SAS, 05221461006</v>
      </c>
      <c r="H28" t="str">
        <f>"360,00"</f>
        <v>360,00</v>
      </c>
      <c r="I28" t="str">
        <f>"29/05/2023"</f>
        <v>29/05/2023</v>
      </c>
      <c r="J28" t="str">
        <f>"2023 - 360,00"</f>
        <v>2023 - 360,00</v>
      </c>
      <c r="K28" t="str">
        <f t="shared" si="3"/>
        <v>Tutte le unità</v>
      </c>
      <c r="L28" t="str">
        <f>""</f>
        <v/>
      </c>
    </row>
    <row r="29" spans="1:12" x14ac:dyDescent="0.3">
      <c r="A29" t="str">
        <f>"Z2C3B4454B"</f>
        <v>Z2C3B4454B</v>
      </c>
      <c r="B29" t="str">
        <f t="shared" si="0"/>
        <v>Ordine degli Avvocati di Reggio Emilia - 80014370359</v>
      </c>
      <c r="C29" t="str">
        <f>"CONCORSO PUBBLICO - UTILIZZO DEGLI SPAZI DI PALAZZO DOSSETTI - UNIMORE"</f>
        <v>CONCORSO PUBBLICO - UTILIZZO DEGLI SPAZI DI PALAZZO DOSSETTI - UNIMORE</v>
      </c>
      <c r="D29" t="str">
        <f t="shared" si="4"/>
        <v>2023</v>
      </c>
      <c r="E29" t="str">
        <f t="shared" si="2"/>
        <v>23-AFFIDAMENTO DIRETTO</v>
      </c>
      <c r="F29" t="str">
        <f>"UNIMORE UNIVERSITA' MO E RE, 00427620364"</f>
        <v>UNIMORE UNIVERSITA' MO E RE, 00427620364</v>
      </c>
      <c r="G29" t="str">
        <f>"UNIMORE UNIVERSITA' MO E RE, 00427620364"</f>
        <v>UNIMORE UNIVERSITA' MO E RE, 00427620364</v>
      </c>
      <c r="H29" t="str">
        <f>"150,00"</f>
        <v>150,00</v>
      </c>
      <c r="I29" t="str">
        <f>"23/05/2023"</f>
        <v>23/05/2023</v>
      </c>
      <c r="J29" t="str">
        <f>""</f>
        <v/>
      </c>
      <c r="K29" t="str">
        <f t="shared" si="3"/>
        <v>Tutte le unità</v>
      </c>
      <c r="L29" t="str">
        <f>""</f>
        <v/>
      </c>
    </row>
    <row r="30" spans="1:12" x14ac:dyDescent="0.3">
      <c r="A30" t="str">
        <f>"Z903B3F36A"</f>
        <v>Z903B3F36A</v>
      </c>
      <c r="B30" t="str">
        <f t="shared" si="0"/>
        <v>Ordine degli Avvocati di Reggio Emilia - 80014370359</v>
      </c>
      <c r="C30" t="str">
        <f>"CORSO DI FORMAZIONE - LE PRINCIPALI ATTIVITA' AMMINISTRATIVE DI ORDINI E COLLEGI"</f>
        <v>CORSO DI FORMAZIONE - LE PRINCIPALI ATTIVITA' AMMINISTRATIVE DI ORDINI E COLLEGI</v>
      </c>
      <c r="D30" t="str">
        <f t="shared" si="4"/>
        <v>2023</v>
      </c>
      <c r="E30" t="str">
        <f t="shared" si="2"/>
        <v>23-AFFIDAMENTO DIRETTO</v>
      </c>
      <c r="F30" t="str">
        <f>"COMPLIANCE LEGALE SERVIZI SRL, 04598700401"</f>
        <v>COMPLIANCE LEGALE SERVIZI SRL, 04598700401</v>
      </c>
      <c r="G30" t="str">
        <f>"COMPLIANCE LEGALE SERVIZI SRL, 04598700401"</f>
        <v>COMPLIANCE LEGALE SERVIZI SRL, 04598700401</v>
      </c>
      <c r="H30" t="str">
        <f>"270,00"</f>
        <v>270,00</v>
      </c>
      <c r="I30" t="str">
        <f>"22/05/2023"</f>
        <v>22/05/2023</v>
      </c>
      <c r="J30" t="str">
        <f>"2023 - 270,00"</f>
        <v>2023 - 270,00</v>
      </c>
      <c r="K30" t="str">
        <f t="shared" si="3"/>
        <v>Tutte le unità</v>
      </c>
      <c r="L30" t="str">
        <f>""</f>
        <v/>
      </c>
    </row>
    <row r="31" spans="1:12" x14ac:dyDescent="0.3">
      <c r="A31" t="str">
        <f>"Z713B334B1"</f>
        <v>Z713B334B1</v>
      </c>
      <c r="B31" t="str">
        <f t="shared" si="0"/>
        <v>Ordine degli Avvocati di Reggio Emilia - 80014370359</v>
      </c>
      <c r="C31" t="str">
        <f>"Richiesta pubblicazione necrologio Avvocato GAMBINI MARIA"</f>
        <v>Richiesta pubblicazione necrologio Avvocato GAMBINI MARIA</v>
      </c>
      <c r="D31" t="str">
        <f t="shared" si="4"/>
        <v>2023</v>
      </c>
      <c r="E31" t="str">
        <f t="shared" si="2"/>
        <v>23-AFFIDAMENTO DIRETTO</v>
      </c>
      <c r="F31" t="str">
        <f>"CROCE VERDE ONORANZE FUNEBRI SAS, 02676700350"</f>
        <v>CROCE VERDE ONORANZE FUNEBRI SAS, 02676700350</v>
      </c>
      <c r="G31" t="str">
        <f>"CROCE VERDE ONORANZE FUNEBRI SAS, 02676700350"</f>
        <v>CROCE VERDE ONORANZE FUNEBRI SAS, 02676700350</v>
      </c>
      <c r="H31" t="str">
        <f>"562,00"</f>
        <v>562,00</v>
      </c>
      <c r="I31" t="str">
        <f>"17/05/2023"</f>
        <v>17/05/2023</v>
      </c>
      <c r="J31" t="str">
        <f>"2023 - 562,00"</f>
        <v>2023 - 562,00</v>
      </c>
      <c r="K31" t="str">
        <f t="shared" si="3"/>
        <v>Tutte le unità</v>
      </c>
      <c r="L31" t="str">
        <f>""</f>
        <v/>
      </c>
    </row>
    <row r="32" spans="1:12" x14ac:dyDescent="0.3">
      <c r="A32" t="str">
        <f>"Z4A3B339DE"</f>
        <v>Z4A3B339DE</v>
      </c>
      <c r="B32" t="str">
        <f t="shared" si="0"/>
        <v>Ordine degli Avvocati di Reggio Emilia - 80014370359</v>
      </c>
      <c r="C32" t="str">
        <f>"CATERING EVENTO DEL 15/05/2023 - TOGHE D'ORO"</f>
        <v>CATERING EVENTO DEL 15/05/2023 - TOGHE D'ORO</v>
      </c>
      <c r="D32" t="str">
        <f t="shared" si="4"/>
        <v>2023</v>
      </c>
      <c r="E32" t="str">
        <f t="shared" si="2"/>
        <v>23-AFFIDAMENTO DIRETTO</v>
      </c>
      <c r="F32" t="str">
        <f>"Enoteca Reggiana snc di montagna corrado &amp; c, 02771800352"</f>
        <v>Enoteca Reggiana snc di montagna corrado &amp; c, 02771800352</v>
      </c>
      <c r="G32" t="str">
        <f>"Enoteca Reggiana snc di montagna corrado &amp; c, 02771800352"</f>
        <v>Enoteca Reggiana snc di montagna corrado &amp; c, 02771800352</v>
      </c>
      <c r="H32" t="str">
        <f>"5500,00"</f>
        <v>5500,00</v>
      </c>
      <c r="I32" t="str">
        <f>"15/05/2023"</f>
        <v>15/05/2023</v>
      </c>
      <c r="J32" t="str">
        <f>"- 5500,00"</f>
        <v>- 5500,00</v>
      </c>
      <c r="K32" t="str">
        <f t="shared" si="3"/>
        <v>Tutte le unità</v>
      </c>
      <c r="L32" t="str">
        <f>""</f>
        <v/>
      </c>
    </row>
    <row r="33" spans="1:12" x14ac:dyDescent="0.3">
      <c r="A33" t="str">
        <f>"Z8E3B05164"</f>
        <v>Z8E3B05164</v>
      </c>
      <c r="B33" t="str">
        <f t="shared" si="0"/>
        <v>Ordine degli Avvocati di Reggio Emilia - 80014370359</v>
      </c>
      <c r="C33" t="str">
        <f>"VIAGGIO ISTITUZIONALE COORDINAMENTO CONCILIAZIONE FORENSE"</f>
        <v>VIAGGIO ISTITUZIONALE COORDINAMENTO CONCILIAZIONE FORENSE</v>
      </c>
      <c r="D33" t="str">
        <f t="shared" si="4"/>
        <v>2023</v>
      </c>
      <c r="E33" t="str">
        <f t="shared" si="2"/>
        <v>23-AFFIDAMENTO DIRETTO</v>
      </c>
      <c r="F33" t="str">
        <f>"HOTEL ESPLANADE, 00062380688"</f>
        <v>HOTEL ESPLANADE, 00062380688</v>
      </c>
      <c r="G33" t="str">
        <f>"HOTEL ESPLANADE, 00062380688"</f>
        <v>HOTEL ESPLANADE, 00062380688</v>
      </c>
      <c r="H33" t="str">
        <f>"81,00"</f>
        <v>81,00</v>
      </c>
      <c r="I33" t="str">
        <f>"04/05/2023"</f>
        <v>04/05/2023</v>
      </c>
      <c r="J33" t="str">
        <f>"2023 - 81,00"</f>
        <v>2023 - 81,00</v>
      </c>
      <c r="K33" t="str">
        <f t="shared" si="3"/>
        <v>Tutte le unità</v>
      </c>
      <c r="L33" t="str">
        <f>""</f>
        <v/>
      </c>
    </row>
    <row r="34" spans="1:12" x14ac:dyDescent="0.3">
      <c r="A34" t="str">
        <f>"Z473AF9F6B"</f>
        <v>Z473AF9F6B</v>
      </c>
      <c r="B34" t="str">
        <f t="shared" ref="B34:B65" si="5">"Ordine degli Avvocati di Reggio Emilia - 80014370359"</f>
        <v>Ordine degli Avvocati di Reggio Emilia - 80014370359</v>
      </c>
      <c r="C34" t="str">
        <f>"ACQUISTO N. 4 MEDAGLIE PER EVENTO ISTITUZIONALE DEL 15/05/2023"</f>
        <v>ACQUISTO N. 4 MEDAGLIE PER EVENTO ISTITUZIONALE DEL 15/05/2023</v>
      </c>
      <c r="D34" t="str">
        <f t="shared" si="4"/>
        <v>2023</v>
      </c>
      <c r="E34" t="str">
        <f t="shared" ref="E34:E65" si="6">"23-AFFIDAMENTO DIRETTO"</f>
        <v>23-AFFIDAMENTO DIRETTO</v>
      </c>
      <c r="F34" t="str">
        <f>"AVS SRL, 02483940355"</f>
        <v>AVS SRL, 02483940355</v>
      </c>
      <c r="G34" t="str">
        <f>"AVS SRL, 02483940355"</f>
        <v>AVS SRL, 02483940355</v>
      </c>
      <c r="H34" t="str">
        <f>"2315,00"</f>
        <v>2315,00</v>
      </c>
      <c r="I34" t="str">
        <f>"02/05/2023"</f>
        <v>02/05/2023</v>
      </c>
      <c r="J34" t="str">
        <f>"2023 - 2315,00"</f>
        <v>2023 - 2315,00</v>
      </c>
      <c r="K34" t="str">
        <f t="shared" ref="K34:K65" si="7">"Tutte le unità"</f>
        <v>Tutte le unità</v>
      </c>
      <c r="L34" t="str">
        <f>""</f>
        <v/>
      </c>
    </row>
    <row r="35" spans="1:12" x14ac:dyDescent="0.3">
      <c r="A35" t="str">
        <f>"Z293AEFF5C"</f>
        <v>Z293AEFF5C</v>
      </c>
      <c r="B35" t="str">
        <f t="shared" si="5"/>
        <v>Ordine degli Avvocati di Reggio Emilia - 80014370359</v>
      </c>
      <c r="C35" t="str">
        <f>"AFFITTO SALA DEGLI SPECCHI DEL TEATRO MUNICIPALE PER IL 15.05.2023 - PER CERIMONIA CONFERIMENTO TOGHE DI PLATINO E D'ORO"</f>
        <v>AFFITTO SALA DEGLI SPECCHI DEL TEATRO MUNICIPALE PER IL 15.05.2023 - PER CERIMONIA CONFERIMENTO TOGHE DI PLATINO E D'ORO</v>
      </c>
      <c r="D35" t="str">
        <f t="shared" si="4"/>
        <v>2023</v>
      </c>
      <c r="E35" t="str">
        <f t="shared" si="6"/>
        <v>23-AFFIDAMENTO DIRETTO</v>
      </c>
      <c r="F35" t="str">
        <f>"FONDAZIONE I TEATRI, 01699800353"</f>
        <v>FONDAZIONE I TEATRI, 01699800353</v>
      </c>
      <c r="G35" t="str">
        <f>"FONDAZIONE I TEATRI, 01699800353"</f>
        <v>FONDAZIONE I TEATRI, 01699800353</v>
      </c>
      <c r="H35" t="str">
        <f>"2500,00"</f>
        <v>2500,00</v>
      </c>
      <c r="I35" t="str">
        <f>"27/04/2023"</f>
        <v>27/04/2023</v>
      </c>
      <c r="J35" t="str">
        <f>"2023 - 2500,00"</f>
        <v>2023 - 2500,00</v>
      </c>
      <c r="K35" t="str">
        <f t="shared" si="7"/>
        <v>Tutte le unità</v>
      </c>
      <c r="L35" t="str">
        <f>""</f>
        <v/>
      </c>
    </row>
    <row r="36" spans="1:12" x14ac:dyDescent="0.3">
      <c r="A36" t="str">
        <f>"Z383AD9F7E"</f>
        <v>Z383AD9F7E</v>
      </c>
      <c r="B36" t="str">
        <f t="shared" si="5"/>
        <v>Ordine degli Avvocati di Reggio Emilia - 80014370359</v>
      </c>
      <c r="C36" t="str">
        <f>"VISITA MEDICA GENERALE DIPENDENTE"</f>
        <v>VISITA MEDICA GENERALE DIPENDENTE</v>
      </c>
      <c r="D36" t="str">
        <f t="shared" si="4"/>
        <v>2023</v>
      </c>
      <c r="E36" t="str">
        <f t="shared" si="6"/>
        <v>23-AFFIDAMENTO DIRETTO</v>
      </c>
      <c r="F36" t="str">
        <f>"CHECKUP SERVICE, 01468750359"</f>
        <v>CHECKUP SERVICE, 01468750359</v>
      </c>
      <c r="G36" t="str">
        <f>"CHECKUP SERVICE, 01468750359"</f>
        <v>CHECKUP SERVICE, 01468750359</v>
      </c>
      <c r="H36" t="str">
        <f>"43,12"</f>
        <v>43,12</v>
      </c>
      <c r="I36" t="str">
        <f>"19/04/2023"</f>
        <v>19/04/2023</v>
      </c>
      <c r="J36" t="str">
        <f>"2023 - 43,12"</f>
        <v>2023 - 43,12</v>
      </c>
      <c r="K36" t="str">
        <f t="shared" si="7"/>
        <v>Tutte le unità</v>
      </c>
      <c r="L36" t="str">
        <f>""</f>
        <v/>
      </c>
    </row>
    <row r="37" spans="1:12" x14ac:dyDescent="0.3">
      <c r="A37" t="str">
        <f>"Z3B3ABAD3E"</f>
        <v>Z3B3ABAD3E</v>
      </c>
      <c r="B37" t="str">
        <f t="shared" si="5"/>
        <v>Ordine degli Avvocati di Reggio Emilia - 80014370359</v>
      </c>
      <c r="C37" t="str">
        <f>"ACQUISTO MANUALE CODICE DI PROCEDURA PENALE COORDINATO CON LE NORME COMPLEMENTARI"</f>
        <v>ACQUISTO MANUALE CODICE DI PROCEDURA PENALE COORDINATO CON LE NORME COMPLEMENTARI</v>
      </c>
      <c r="D37" t="str">
        <f t="shared" si="4"/>
        <v>2023</v>
      </c>
      <c r="E37" t="str">
        <f t="shared" si="6"/>
        <v>23-AFFIDAMENTO DIRETTO</v>
      </c>
      <c r="F37" t="str">
        <f>"LIBRERIA ARIOSTO DI SARTORI ROBERTO, 02669350353"</f>
        <v>LIBRERIA ARIOSTO DI SARTORI ROBERTO, 02669350353</v>
      </c>
      <c r="G37" t="str">
        <f>"LIBRERIA ARIOSTO DI SARTORI ROBERTO, 02669350353"</f>
        <v>LIBRERIA ARIOSTO DI SARTORI ROBERTO, 02669350353</v>
      </c>
      <c r="H37" t="str">
        <f>"29,00"</f>
        <v>29,00</v>
      </c>
      <c r="I37" t="str">
        <f>"11/04/2023"</f>
        <v>11/04/2023</v>
      </c>
      <c r="J37" t="str">
        <f>"2023 - 29,00"</f>
        <v>2023 - 29,00</v>
      </c>
      <c r="K37" t="str">
        <f t="shared" si="7"/>
        <v>Tutte le unità</v>
      </c>
      <c r="L37" t="str">
        <f>""</f>
        <v/>
      </c>
    </row>
    <row r="38" spans="1:12" x14ac:dyDescent="0.3">
      <c r="A38" t="str">
        <f>"Z133ABB808"</f>
        <v>Z133ABB808</v>
      </c>
      <c r="B38" t="str">
        <f t="shared" si="5"/>
        <v>Ordine degli Avvocati di Reggio Emilia - 80014370359</v>
      </c>
      <c r="C38" t="str">
        <f>"ESET PROTECT COMPLETE - NUOVO ENDPOINT"</f>
        <v>ESET PROTECT COMPLETE - NUOVO ENDPOINT</v>
      </c>
      <c r="D38" t="str">
        <f t="shared" si="4"/>
        <v>2023</v>
      </c>
      <c r="E38" t="str">
        <f t="shared" si="6"/>
        <v>23-AFFIDAMENTO DIRETTO</v>
      </c>
      <c r="F38" t="str">
        <f>"BLUESCREEN, 02015770353"</f>
        <v>BLUESCREEN, 02015770353</v>
      </c>
      <c r="G38" t="str">
        <f>"BLUESCREEN, 02015770353"</f>
        <v>BLUESCREEN, 02015770353</v>
      </c>
      <c r="H38" t="str">
        <f>"3370,00"</f>
        <v>3370,00</v>
      </c>
      <c r="I38" t="str">
        <f>"11/04/2023"</f>
        <v>11/04/2023</v>
      </c>
      <c r="J38" t="str">
        <f>"2023 - 3370,00"</f>
        <v>2023 - 3370,00</v>
      </c>
      <c r="K38" t="str">
        <f t="shared" si="7"/>
        <v>Tutte le unità</v>
      </c>
      <c r="L38" t="str">
        <f>""</f>
        <v/>
      </c>
    </row>
    <row r="39" spans="1:12" x14ac:dyDescent="0.3">
      <c r="A39" t="str">
        <f>"Z733AB6418"</f>
        <v>Z733AB6418</v>
      </c>
      <c r="B39" t="str">
        <f t="shared" si="5"/>
        <v>Ordine degli Avvocati di Reggio Emilia - 80014370359</v>
      </c>
      <c r="C39" t="str">
        <f>"RIMBORSO CANONE SOFTWARE CONTABILITA': COGESWINPLUS, MODULO SPLIT PAYMENT E MODULO CERTICRED ANNO 2023"</f>
        <v>RIMBORSO CANONE SOFTWARE CONTABILITA': COGESWINPLUS, MODULO SPLIT PAYMENT E MODULO CERTICRED ANNO 2023</v>
      </c>
      <c r="D39" t="str">
        <f t="shared" si="4"/>
        <v>2023</v>
      </c>
      <c r="E39" t="str">
        <f t="shared" si="6"/>
        <v>23-AFFIDAMENTO DIRETTO</v>
      </c>
      <c r="F39" t="str">
        <f>"CONSULENTI AZIENDALI ASSOCIATI S.A.S. - S.T.P., 01566820351"</f>
        <v>CONSULENTI AZIENDALI ASSOCIATI S.A.S. - S.T.P., 01566820351</v>
      </c>
      <c r="G39" t="str">
        <f>"CONSULENTI AZIENDALI ASSOCIATI S.A.S. - S.T.P., 01566820351"</f>
        <v>CONSULENTI AZIENDALI ASSOCIATI S.A.S. - S.T.P., 01566820351</v>
      </c>
      <c r="H39" t="str">
        <f>"1575,60"</f>
        <v>1575,60</v>
      </c>
      <c r="I39" t="str">
        <f>"07/04/2023"</f>
        <v>07/04/2023</v>
      </c>
      <c r="J39" t="str">
        <f>"2023 - 1575,60"</f>
        <v>2023 - 1575,60</v>
      </c>
      <c r="K39" t="str">
        <f t="shared" si="7"/>
        <v>Tutte le unità</v>
      </c>
      <c r="L39" t="str">
        <f>""</f>
        <v/>
      </c>
    </row>
    <row r="40" spans="1:12" x14ac:dyDescent="0.3">
      <c r="A40" t="str">
        <f>"Z223AA0DA6"</f>
        <v>Z223AA0DA6</v>
      </c>
      <c r="B40" t="str">
        <f t="shared" si="5"/>
        <v>Ordine degli Avvocati di Reggio Emilia - 80014370359</v>
      </c>
      <c r="C40" t="str">
        <f>"ELABORAZIONE DATI CONTABILI E CONSULENZA - OCC"</f>
        <v>ELABORAZIONE DATI CONTABILI E CONSULENZA - OCC</v>
      </c>
      <c r="D40" t="str">
        <f t="shared" si="4"/>
        <v>2023</v>
      </c>
      <c r="E40" t="str">
        <f t="shared" si="6"/>
        <v>23-AFFIDAMENTO DIRETTO</v>
      </c>
      <c r="F40" t="str">
        <f>"DOTT.SSA MARTA REVERBERI, 01643430356"</f>
        <v>DOTT.SSA MARTA REVERBERI, 01643430356</v>
      </c>
      <c r="G40" t="str">
        <f>"DOTT.SSA MARTA REVERBERI, 01643430356"</f>
        <v>DOTT.SSA MARTA REVERBERI, 01643430356</v>
      </c>
      <c r="H40" t="str">
        <f>"6000,00"</f>
        <v>6000,00</v>
      </c>
      <c r="I40" t="str">
        <f>"31/03/2023"</f>
        <v>31/03/2023</v>
      </c>
      <c r="J40" t="str">
        <f>""</f>
        <v/>
      </c>
      <c r="K40" t="str">
        <f t="shared" si="7"/>
        <v>Tutte le unità</v>
      </c>
      <c r="L40" t="str">
        <f>""</f>
        <v/>
      </c>
    </row>
    <row r="41" spans="1:12" x14ac:dyDescent="0.3">
      <c r="A41" t="str">
        <f>"Z9D3AA0D77"</f>
        <v>Z9D3AA0D77</v>
      </c>
      <c r="B41" t="str">
        <f t="shared" si="5"/>
        <v>Ordine degli Avvocati di Reggio Emilia - 80014370359</v>
      </c>
      <c r="C41" t="str">
        <f>"ELABORAZIONE DATI CONTABILI E CONSULENZA - ODM"</f>
        <v>ELABORAZIONE DATI CONTABILI E CONSULENZA - ODM</v>
      </c>
      <c r="D41" t="str">
        <f t="shared" si="4"/>
        <v>2023</v>
      </c>
      <c r="E41" t="str">
        <f t="shared" si="6"/>
        <v>23-AFFIDAMENTO DIRETTO</v>
      </c>
      <c r="F41" t="str">
        <f>"DOTT.SSA MARTA REVERBERI, 01643430356"</f>
        <v>DOTT.SSA MARTA REVERBERI, 01643430356</v>
      </c>
      <c r="G41" t="str">
        <f>"DOTT.SSA MARTA REVERBERI, 01643430356"</f>
        <v>DOTT.SSA MARTA REVERBERI, 01643430356</v>
      </c>
      <c r="H41" t="str">
        <f>"6000,00"</f>
        <v>6000,00</v>
      </c>
      <c r="I41" t="str">
        <f>"31/03/2023"</f>
        <v>31/03/2023</v>
      </c>
      <c r="J41" t="str">
        <f>""</f>
        <v/>
      </c>
      <c r="K41" t="str">
        <f t="shared" si="7"/>
        <v>Tutte le unità</v>
      </c>
      <c r="L41" t="str">
        <f>""</f>
        <v/>
      </c>
    </row>
    <row r="42" spans="1:12" x14ac:dyDescent="0.3">
      <c r="A42" t="str">
        <f>"Z133A86CD4"</f>
        <v>Z133A86CD4</v>
      </c>
      <c r="B42" t="str">
        <f t="shared" si="5"/>
        <v>Ordine degli Avvocati di Reggio Emilia - 80014370359</v>
      </c>
      <c r="C42" t="str">
        <f>"Presidio tecnico presso Tribunale di Reggio Emilia - Aula 5 per evento del 29.03.2023"</f>
        <v>Presidio tecnico presso Tribunale di Reggio Emilia - Aula 5 per evento del 29.03.2023</v>
      </c>
      <c r="D42" t="str">
        <f t="shared" si="4"/>
        <v>2023</v>
      </c>
      <c r="E42" t="str">
        <f t="shared" si="6"/>
        <v>23-AFFIDAMENTO DIRETTO</v>
      </c>
      <c r="F42" t="str">
        <f>"LUTECH SPA, 02824320176"</f>
        <v>LUTECH SPA, 02824320176</v>
      </c>
      <c r="G42" t="str">
        <f>"LUTECH SPA, 02824320176"</f>
        <v>LUTECH SPA, 02824320176</v>
      </c>
      <c r="H42" t="str">
        <f>"480,00"</f>
        <v>480,00</v>
      </c>
      <c r="I42" t="str">
        <f>"24/03/2023"</f>
        <v>24/03/2023</v>
      </c>
      <c r="J42" t="str">
        <f>""</f>
        <v/>
      </c>
      <c r="K42" t="str">
        <f t="shared" si="7"/>
        <v>Tutte le unità</v>
      </c>
      <c r="L42" t="str">
        <f>""</f>
        <v/>
      </c>
    </row>
    <row r="43" spans="1:12" x14ac:dyDescent="0.3">
      <c r="A43" t="str">
        <f>"Z4C3A7D197"</f>
        <v>Z4C3A7D197</v>
      </c>
      <c r="B43" t="str">
        <f t="shared" si="5"/>
        <v>Ordine degli Avvocati di Reggio Emilia - 80014370359</v>
      </c>
      <c r="C43" t="str">
        <f>"Richiesta pubblicazione necrologio Avvocato ENRICA SPACCAPELO"</f>
        <v>Richiesta pubblicazione necrologio Avvocato ENRICA SPACCAPELO</v>
      </c>
      <c r="D43" t="str">
        <f t="shared" si="4"/>
        <v>2023</v>
      </c>
      <c r="E43" t="str">
        <f t="shared" si="6"/>
        <v>23-AFFIDAMENTO DIRETTO</v>
      </c>
      <c r="F43" t="str">
        <f>"CROCE VERDE ONORANZE FUNEBRI SAS, 02676700350"</f>
        <v>CROCE VERDE ONORANZE FUNEBRI SAS, 02676700350</v>
      </c>
      <c r="G43" t="str">
        <f>"CROCE VERDE ONORANZE FUNEBRI SAS, 02676700350"</f>
        <v>CROCE VERDE ONORANZE FUNEBRI SAS, 02676700350</v>
      </c>
      <c r="H43" t="str">
        <f>"688,10"</f>
        <v>688,10</v>
      </c>
      <c r="I43" t="str">
        <f>"22/03/2023"</f>
        <v>22/03/2023</v>
      </c>
      <c r="J43" t="str">
        <f>"2023 - 688,10"</f>
        <v>2023 - 688,10</v>
      </c>
      <c r="K43" t="str">
        <f t="shared" si="7"/>
        <v>Tutte le unità</v>
      </c>
      <c r="L43" t="str">
        <f>""</f>
        <v/>
      </c>
    </row>
    <row r="44" spans="1:12" x14ac:dyDescent="0.3">
      <c r="A44" t="str">
        <f>"Z7A3A6490E"</f>
        <v>Z7A3A6490E</v>
      </c>
      <c r="B44" t="str">
        <f t="shared" si="5"/>
        <v>Ordine degli Avvocati di Reggio Emilia - 80014370359</v>
      </c>
      <c r="C44" t="str">
        <f>"Acquisto Dispositivo di firma digitale lextel per Consigliere Segretario"</f>
        <v>Acquisto Dispositivo di firma digitale lextel per Consigliere Segretario</v>
      </c>
      <c r="D44" t="str">
        <f t="shared" si="4"/>
        <v>2023</v>
      </c>
      <c r="E44" t="str">
        <f t="shared" si="6"/>
        <v>23-AFFIDAMENTO DIRETTO</v>
      </c>
      <c r="F44" t="str">
        <f>"VISURA SPA, 05338771008"</f>
        <v>VISURA SPA, 05338771008</v>
      </c>
      <c r="G44" t="str">
        <f>"VISURA SPA, 05338771008"</f>
        <v>VISURA SPA, 05338771008</v>
      </c>
      <c r="H44" t="str">
        <f>"39,90"</f>
        <v>39,90</v>
      </c>
      <c r="I44" t="str">
        <f>"16/03/2023"</f>
        <v>16/03/2023</v>
      </c>
      <c r="J44" t="str">
        <f>"2023 - 39,90"</f>
        <v>2023 - 39,90</v>
      </c>
      <c r="K44" t="str">
        <f t="shared" si="7"/>
        <v>Tutte le unità</v>
      </c>
      <c r="L44" t="str">
        <f>""</f>
        <v/>
      </c>
    </row>
    <row r="45" spans="1:12" x14ac:dyDescent="0.3">
      <c r="A45" t="str">
        <f>"ZA53A64BD2"</f>
        <v>ZA53A64BD2</v>
      </c>
      <c r="B45" t="str">
        <f t="shared" si="5"/>
        <v>Ordine degli Avvocati di Reggio Emilia - 80014370359</v>
      </c>
      <c r="C45" t="str">
        <f>"Acquisto di 2 manuali per l'Organismo di Composizione della Crisi"</f>
        <v>Acquisto di 2 manuali per l'Organismo di Composizione della Crisi</v>
      </c>
      <c r="D45" t="str">
        <f t="shared" si="4"/>
        <v>2023</v>
      </c>
      <c r="E45" t="str">
        <f t="shared" si="6"/>
        <v>23-AFFIDAMENTO DIRETTO</v>
      </c>
      <c r="F45" t="str">
        <f>"LIBRERIA ARIOSTO DI SARTORI ROBERTO, 02669350353"</f>
        <v>LIBRERIA ARIOSTO DI SARTORI ROBERTO, 02669350353</v>
      </c>
      <c r="G45" t="str">
        <f>"LIBRERIA ARIOSTO DI SARTORI ROBERTO, 02669350353"</f>
        <v>LIBRERIA ARIOSTO DI SARTORI ROBERTO, 02669350353</v>
      </c>
      <c r="H45" t="str">
        <f>"97,00"</f>
        <v>97,00</v>
      </c>
      <c r="I45" t="str">
        <f>"16/03/2023"</f>
        <v>16/03/2023</v>
      </c>
      <c r="J45" t="str">
        <f>"2023 - 97,00"</f>
        <v>2023 - 97,00</v>
      </c>
      <c r="K45" t="str">
        <f t="shared" si="7"/>
        <v>Tutte le unità</v>
      </c>
      <c r="L45" t="str">
        <f>""</f>
        <v/>
      </c>
    </row>
    <row r="46" spans="1:12" x14ac:dyDescent="0.3">
      <c r="A46" t="str">
        <f>"Z533A3FE07"</f>
        <v>Z533A3FE07</v>
      </c>
      <c r="B46" t="str">
        <f t="shared" si="5"/>
        <v>Ordine degli Avvocati di Reggio Emilia - 80014370359</v>
      </c>
      <c r="C46" t="str">
        <f>"CORSO DI FORMAZIONE TRASPARENZA AMMINISTRATIVA E OBBLIGHI DI PUBBLICAZIONE: ANALISI OPERATIVA"</f>
        <v>CORSO DI FORMAZIONE TRASPARENZA AMMINISTRATIVA E OBBLIGHI DI PUBBLICAZIONE: ANALISI OPERATIVA</v>
      </c>
      <c r="D46" t="str">
        <f t="shared" si="4"/>
        <v>2023</v>
      </c>
      <c r="E46" t="str">
        <f t="shared" si="6"/>
        <v>23-AFFIDAMENTO DIRETTO</v>
      </c>
      <c r="F46" t="str">
        <f>"COMPLIANCE LEGALE SERVIZI SRL, 04598700401"</f>
        <v>COMPLIANCE LEGALE SERVIZI SRL, 04598700401</v>
      </c>
      <c r="G46" t="str">
        <f>"COMPLIANCE LEGALE SERVIZI SRL, 04598700401"</f>
        <v>COMPLIANCE LEGALE SERVIZI SRL, 04598700401</v>
      </c>
      <c r="H46" t="str">
        <f>"150,00"</f>
        <v>150,00</v>
      </c>
      <c r="I46" t="str">
        <f>"07/03/2023"</f>
        <v>07/03/2023</v>
      </c>
      <c r="J46" t="str">
        <f>"2023 - 150,00"</f>
        <v>2023 - 150,00</v>
      </c>
      <c r="K46" t="str">
        <f t="shared" si="7"/>
        <v>Tutte le unità</v>
      </c>
      <c r="L46" t="str">
        <f>""</f>
        <v/>
      </c>
    </row>
    <row r="47" spans="1:12" x14ac:dyDescent="0.3">
      <c r="A47" t="str">
        <f>"Z953A2BF84"</f>
        <v>Z953A2BF84</v>
      </c>
      <c r="B47" t="str">
        <f t="shared" si="5"/>
        <v>Ordine degli Avvocati di Reggio Emilia - 80014370359</v>
      </c>
      <c r="C47" t="str">
        <f>"AFFITTO AULA UNIMORE CORSO LA RIFORMA DI CARTABIA AL DIRITTO ED ALLA PROCEDURA PENALE"</f>
        <v>AFFITTO AULA UNIMORE CORSO LA RIFORMA DI CARTABIA AL DIRITTO ED ALLA PROCEDURA PENALE</v>
      </c>
      <c r="D47" t="str">
        <f t="shared" si="4"/>
        <v>2023</v>
      </c>
      <c r="E47" t="str">
        <f t="shared" si="6"/>
        <v>23-AFFIDAMENTO DIRETTO</v>
      </c>
      <c r="F47" t="str">
        <f>"UNIMORE UNIVERSITA' MO E RE, 00427620364"</f>
        <v>UNIMORE UNIVERSITA' MO E RE, 00427620364</v>
      </c>
      <c r="G47" t="str">
        <f>"UNIMORE UNIVERSITA' MO E RE, 00427620364"</f>
        <v>UNIMORE UNIVERSITA' MO E RE, 00427620364</v>
      </c>
      <c r="H47" t="str">
        <f>"1188,52"</f>
        <v>1188,52</v>
      </c>
      <c r="I47" t="str">
        <f>"01/03/2023"</f>
        <v>01/03/2023</v>
      </c>
      <c r="J47" t="str">
        <f>"2023 - 1188,52"</f>
        <v>2023 - 1188,52</v>
      </c>
      <c r="K47" t="str">
        <f t="shared" si="7"/>
        <v>Tutte le unità</v>
      </c>
      <c r="L47" t="str">
        <f>""</f>
        <v/>
      </c>
    </row>
    <row r="48" spans="1:12" x14ac:dyDescent="0.3">
      <c r="A48" t="str">
        <f>"ZC639D615C"</f>
        <v>ZC639D615C</v>
      </c>
      <c r="B48" t="str">
        <f t="shared" si="5"/>
        <v>Ordine degli Avvocati di Reggio Emilia - 80014370359</v>
      </c>
      <c r="C48" t="str">
        <f>"Polizza RC DIPENDENTI"</f>
        <v>Polizza RC DIPENDENTI</v>
      </c>
      <c r="D48" t="str">
        <f t="shared" si="4"/>
        <v>2023</v>
      </c>
      <c r="E48" t="str">
        <f t="shared" si="6"/>
        <v>23-AFFIDAMENTO DIRETTO</v>
      </c>
      <c r="F48" t="str">
        <f>"AREA BROKER &amp; QZ SPA, 02280350352"</f>
        <v>AREA BROKER &amp; QZ SPA, 02280350352</v>
      </c>
      <c r="G48" t="str">
        <f>"AREA BROKER &amp; QZ SPA, 02280350352"</f>
        <v>AREA BROKER &amp; QZ SPA, 02280350352</v>
      </c>
      <c r="H48" t="str">
        <f>"120,00"</f>
        <v>120,00</v>
      </c>
      <c r="I48" t="str">
        <f>"07/02/2023"</f>
        <v>07/02/2023</v>
      </c>
      <c r="J48" t="str">
        <f>"2023 - 120,00"</f>
        <v>2023 - 120,00</v>
      </c>
      <c r="K48" t="str">
        <f t="shared" si="7"/>
        <v>Tutte le unità</v>
      </c>
      <c r="L48" t="str">
        <f>""</f>
        <v/>
      </c>
    </row>
    <row r="49" spans="1:12" x14ac:dyDescent="0.3">
      <c r="A49" t="str">
        <f>"Z9439CBEDA"</f>
        <v>Z9439CBEDA</v>
      </c>
      <c r="B49" t="str">
        <f t="shared" si="5"/>
        <v>Ordine degli Avvocati di Reggio Emilia - 80014370359</v>
      </c>
      <c r="C49" t="str">
        <f>"RINNOVO TRIENNALE 10 INDIRIZZI EMAIL 2GB + RINN. DOMINIO PRO + RINN. 1000 INVII EMAIL GIORNALIERI"</f>
        <v>RINNOVO TRIENNALE 10 INDIRIZZI EMAIL 2GB + RINN. DOMINIO PRO + RINN. 1000 INVII EMAIL GIORNALIERI</v>
      </c>
      <c r="D49" t="str">
        <f t="shared" ref="D49:D71" si="8">"2023"</f>
        <v>2023</v>
      </c>
      <c r="E49" t="str">
        <f t="shared" si="6"/>
        <v>23-AFFIDAMENTO DIRETTO</v>
      </c>
      <c r="F49" t="str">
        <f>"REGISTER SPA, 04628270482"</f>
        <v>REGISTER SPA, 04628270482</v>
      </c>
      <c r="G49" t="str">
        <f>"REGISTER SPA, 04628270482"</f>
        <v>REGISTER SPA, 04628270482</v>
      </c>
      <c r="H49" t="str">
        <f>"467,55"</f>
        <v>467,55</v>
      </c>
      <c r="I49" t="str">
        <f>"03/02/2023"</f>
        <v>03/02/2023</v>
      </c>
      <c r="J49" t="str">
        <f>"2023 - 467,55"</f>
        <v>2023 - 467,55</v>
      </c>
      <c r="K49" t="str">
        <f t="shared" si="7"/>
        <v>Tutte le unità</v>
      </c>
      <c r="L49" t="str">
        <f>""</f>
        <v/>
      </c>
    </row>
    <row r="50" spans="1:12" x14ac:dyDescent="0.3">
      <c r="A50" t="str">
        <f>"ZB039BE0F8"</f>
        <v>ZB039BE0F8</v>
      </c>
      <c r="B50" t="str">
        <f t="shared" si="5"/>
        <v>Ordine degli Avvocati di Reggio Emilia - 80014370359</v>
      </c>
      <c r="C50" t="str">
        <f>"ELABORAZIONE DATI CONTABILI E CONSULENZA"</f>
        <v>ELABORAZIONE DATI CONTABILI E CONSULENZA</v>
      </c>
      <c r="D50" t="str">
        <f t="shared" si="8"/>
        <v>2023</v>
      </c>
      <c r="E50" t="str">
        <f t="shared" si="6"/>
        <v>23-AFFIDAMENTO DIRETTO</v>
      </c>
      <c r="F50" t="str">
        <f>"DOTT.SSA MARTA REVERBERI, 01643430356"</f>
        <v>DOTT.SSA MARTA REVERBERI, 01643430356</v>
      </c>
      <c r="G50" t="str">
        <f>"DOTT.SSA MARTA REVERBERI, 01643430356"</f>
        <v>DOTT.SSA MARTA REVERBERI, 01643430356</v>
      </c>
      <c r="H50" t="str">
        <f>"14560,00"</f>
        <v>14560,00</v>
      </c>
      <c r="I50" t="str">
        <f>"31/01/2023"</f>
        <v>31/01/2023</v>
      </c>
      <c r="J50" t="str">
        <f>"2023 - 4125,57 | 2023 - 7572,45"</f>
        <v>2023 - 4125,57 | 2023 - 7572,45</v>
      </c>
      <c r="K50" t="str">
        <f t="shared" si="7"/>
        <v>Tutte le unità</v>
      </c>
      <c r="L50" t="str">
        <f>""</f>
        <v/>
      </c>
    </row>
    <row r="51" spans="1:12" x14ac:dyDescent="0.3">
      <c r="A51" t="str">
        <f>"Z7239B8D96"</f>
        <v>Z7239B8D96</v>
      </c>
      <c r="B51" t="str">
        <f t="shared" si="5"/>
        <v>Ordine degli Avvocati di Reggio Emilia - 80014370359</v>
      </c>
      <c r="C51" t="str">
        <f>"PRANZO COMMISSIONE ELETTORALE"</f>
        <v>PRANZO COMMISSIONE ELETTORALE</v>
      </c>
      <c r="D51" t="str">
        <f t="shared" si="8"/>
        <v>2023</v>
      </c>
      <c r="E51" t="str">
        <f t="shared" si="6"/>
        <v>23-AFFIDAMENTO DIRETTO</v>
      </c>
      <c r="F51" t="str">
        <f>"ROZZI GIANLUCA, 02021960352"</f>
        <v>ROZZI GIANLUCA, 02021960352</v>
      </c>
      <c r="G51" t="str">
        <f>"ROZZI GIANLUCA, 02021960352"</f>
        <v>ROZZI GIANLUCA, 02021960352</v>
      </c>
      <c r="H51" t="str">
        <f>"152,00"</f>
        <v>152,00</v>
      </c>
      <c r="I51" t="str">
        <f>"30/01/2023"</f>
        <v>30/01/2023</v>
      </c>
      <c r="J51" t="str">
        <f>"2023 - 152,00"</f>
        <v>2023 - 152,00</v>
      </c>
      <c r="K51" t="str">
        <f t="shared" si="7"/>
        <v>Tutte le unità</v>
      </c>
      <c r="L51" t="str">
        <f>""</f>
        <v/>
      </c>
    </row>
    <row r="52" spans="1:12" x14ac:dyDescent="0.3">
      <c r="A52" t="str">
        <f>"ZD939B8126"</f>
        <v>ZD939B8126</v>
      </c>
      <c r="B52" t="str">
        <f t="shared" si="5"/>
        <v>Ordine degli Avvocati di Reggio Emilia - 80014370359</v>
      </c>
      <c r="C52" t="str">
        <f>"CANONE ANNUALE FALLCO"</f>
        <v>CANONE ANNUALE FALLCO</v>
      </c>
      <c r="D52" t="str">
        <f t="shared" si="8"/>
        <v>2023</v>
      </c>
      <c r="E52" t="str">
        <f t="shared" si="6"/>
        <v>23-AFFIDAMENTO DIRETTO</v>
      </c>
      <c r="F52" t="str">
        <f>"Zucchetti Software Giuridico srl, 02667520247"</f>
        <v>Zucchetti Software Giuridico srl, 02667520247</v>
      </c>
      <c r="G52" t="str">
        <f>"Zucchetti Software Giuridico srl, 02667520247"</f>
        <v>Zucchetti Software Giuridico srl, 02667520247</v>
      </c>
      <c r="H52" t="str">
        <f>"2318,00"</f>
        <v>2318,00</v>
      </c>
      <c r="I52" t="str">
        <f>"30/01/2023"</f>
        <v>30/01/2023</v>
      </c>
      <c r="J52" t="str">
        <f>"2023 - 2318,00"</f>
        <v>2023 - 2318,00</v>
      </c>
      <c r="K52" t="str">
        <f t="shared" si="7"/>
        <v>Tutte le unità</v>
      </c>
      <c r="L52" t="str">
        <f>""</f>
        <v/>
      </c>
    </row>
    <row r="53" spans="1:12" x14ac:dyDescent="0.3">
      <c r="A53" t="str">
        <f>"Z7D397F4F3"</f>
        <v>Z7D397F4F3</v>
      </c>
      <c r="B53" t="str">
        <f t="shared" si="5"/>
        <v>Ordine degli Avvocati di Reggio Emilia - 80014370359</v>
      </c>
      <c r="C53" t="str">
        <f>"FORMAZIONE - OMAGGI RELATORI"</f>
        <v>FORMAZIONE - OMAGGI RELATORI</v>
      </c>
      <c r="D53" t="str">
        <f t="shared" si="8"/>
        <v>2023</v>
      </c>
      <c r="E53" t="str">
        <f t="shared" si="6"/>
        <v>23-AFFIDAMENTO DIRETTO</v>
      </c>
      <c r="F53" t="str">
        <f>"AZIENDA AGRICOLA LA RAZZA, 01036670352"</f>
        <v>AZIENDA AGRICOLA LA RAZZA, 01036670352</v>
      </c>
      <c r="G53" t="str">
        <f>"AZIENDA AGRICOLA LA RAZZA, 01036670352"</f>
        <v>AZIENDA AGRICOLA LA RAZZA, 01036670352</v>
      </c>
      <c r="H53" t="str">
        <f>"1000,00"</f>
        <v>1000,00</v>
      </c>
      <c r="I53" t="str">
        <f>"25/01/2023"</f>
        <v>25/01/2023</v>
      </c>
      <c r="J53" t="str">
        <f>"2023 - 239,22 | 2023 - 208,66 | 2023 - 150,52 | 2023 - 152,37 | 2023 - 345,90"</f>
        <v>2023 - 239,22 | 2023 - 208,66 | 2023 - 150,52 | 2023 - 152,37 | 2023 - 345,90</v>
      </c>
      <c r="K53" t="str">
        <f t="shared" si="7"/>
        <v>Tutte le unità</v>
      </c>
      <c r="L53" t="str">
        <f>""</f>
        <v/>
      </c>
    </row>
    <row r="54" spans="1:12" x14ac:dyDescent="0.3">
      <c r="A54" t="str">
        <f>"Z1739794D3"</f>
        <v>Z1739794D3</v>
      </c>
      <c r="B54" t="str">
        <f t="shared" si="5"/>
        <v>Ordine degli Avvocati di Reggio Emilia - 80014370359</v>
      </c>
      <c r="C54" t="str">
        <f>"ACQUISTO N. 1 DISTRIBUTORE + N. 1 DISTRIB./RICARICAT. DI TESSERE PER FOTOCOPIE"</f>
        <v>ACQUISTO N. 1 DISTRIBUTORE + N. 1 DISTRIB./RICARICAT. DI TESSERE PER FOTOCOPIE</v>
      </c>
      <c r="D54" t="str">
        <f t="shared" si="8"/>
        <v>2023</v>
      </c>
      <c r="E54" t="str">
        <f t="shared" si="6"/>
        <v>23-AFFIDAMENTO DIRETTO</v>
      </c>
      <c r="F54" t="str">
        <f>"WORKCOM S.R.L., 01970210355"</f>
        <v>WORKCOM S.R.L., 01970210355</v>
      </c>
      <c r="G54" t="str">
        <f>"WORKCOM S.R.L., 01970210355"</f>
        <v>WORKCOM S.R.L., 01970210355</v>
      </c>
      <c r="H54" t="str">
        <f>"5100,00"</f>
        <v>5100,00</v>
      </c>
      <c r="I54" t="str">
        <f>"25/01/2023"</f>
        <v>25/01/2023</v>
      </c>
      <c r="J54" t="str">
        <f>"2023 - 5100,00"</f>
        <v>2023 - 5100,00</v>
      </c>
      <c r="K54" t="str">
        <f t="shared" si="7"/>
        <v>Tutte le unità</v>
      </c>
      <c r="L54" t="str">
        <f>""</f>
        <v/>
      </c>
    </row>
    <row r="55" spans="1:12" x14ac:dyDescent="0.3">
      <c r="A55" t="str">
        <f>"ZCE399FED2"</f>
        <v>ZCE399FED2</v>
      </c>
      <c r="B55" t="str">
        <f t="shared" si="5"/>
        <v>Ordine degli Avvocati di Reggio Emilia - 80014370359</v>
      </c>
      <c r="C55" t="str">
        <f>"TRASPORTO CABINE ELETTORALI"</f>
        <v>TRASPORTO CABINE ELETTORALI</v>
      </c>
      <c r="D55" t="str">
        <f t="shared" si="8"/>
        <v>2023</v>
      </c>
      <c r="E55" t="str">
        <f t="shared" si="6"/>
        <v>23-AFFIDAMENTO DIRETTO</v>
      </c>
      <c r="F55" t="str">
        <f>"COOPSERVICE, 00310180351"</f>
        <v>COOPSERVICE, 00310180351</v>
      </c>
      <c r="G55" t="str">
        <f>"COOPSERVICE, 00310180351"</f>
        <v>COOPSERVICE, 00310180351</v>
      </c>
      <c r="H55" t="str">
        <f>"280,00"</f>
        <v>280,00</v>
      </c>
      <c r="I55" t="str">
        <f>"24/01/2023"</f>
        <v>24/01/2023</v>
      </c>
      <c r="J55" t="str">
        <f>"2023 - 280,00"</f>
        <v>2023 - 280,00</v>
      </c>
      <c r="K55" t="str">
        <f t="shared" si="7"/>
        <v>Tutte le unità</v>
      </c>
      <c r="L55" t="str">
        <f>""</f>
        <v/>
      </c>
    </row>
    <row r="56" spans="1:12" x14ac:dyDescent="0.3">
      <c r="A56" t="str">
        <f>"Z3B399C783"</f>
        <v>Z3B399C783</v>
      </c>
      <c r="B56" t="str">
        <f t="shared" si="5"/>
        <v>Ordine degli Avvocati di Reggio Emilia - 80014370359</v>
      </c>
      <c r="C56" t="str">
        <f>"FORNITURA E ASSISTENZA FOTOCOPIATRICI ANNO 2023"</f>
        <v>FORNITURA E ASSISTENZA FOTOCOPIATRICI ANNO 2023</v>
      </c>
      <c r="D56" t="str">
        <f t="shared" si="8"/>
        <v>2023</v>
      </c>
      <c r="E56" t="str">
        <f t="shared" si="6"/>
        <v>23-AFFIDAMENTO DIRETTO</v>
      </c>
      <c r="F56" t="str">
        <f>"WORKCOM S.R.L., 01970210355"</f>
        <v>WORKCOM S.R.L., 01970210355</v>
      </c>
      <c r="G56" t="str">
        <f>"WORKCOM S.R.L., 01970210355"</f>
        <v>WORKCOM S.R.L., 01970210355</v>
      </c>
      <c r="H56" t="str">
        <f>"4500,00"</f>
        <v>4500,00</v>
      </c>
      <c r="I56" t="str">
        <f>"23/01/2023"</f>
        <v>23/01/2023</v>
      </c>
      <c r="J56" t="str">
        <f>"2023 - 634,15 | 2023 - 211,80 | 2023 - 95,00 | 2023 - 244,40 | 2023 - 631,29 | 2023 - 183,19 | 2023 - 845,89"</f>
        <v>2023 - 634,15 | 2023 - 211,80 | 2023 - 95,00 | 2023 - 244,40 | 2023 - 631,29 | 2023 - 183,19 | 2023 - 845,89</v>
      </c>
      <c r="K56" t="str">
        <f t="shared" si="7"/>
        <v>Tutte le unità</v>
      </c>
      <c r="L56" t="str">
        <f>""</f>
        <v/>
      </c>
    </row>
    <row r="57" spans="1:12" x14ac:dyDescent="0.3">
      <c r="A57" t="str">
        <f>"Z1E399AD11"</f>
        <v>Z1E399AD11</v>
      </c>
      <c r="B57" t="str">
        <f t="shared" si="5"/>
        <v>Ordine degli Avvocati di Reggio Emilia - 80014370359</v>
      </c>
      <c r="C57" t="str">
        <f>"SERVIZIO POSTALE ANNO 2023"</f>
        <v>SERVIZIO POSTALE ANNO 2023</v>
      </c>
      <c r="D57" t="str">
        <f t="shared" si="8"/>
        <v>2023</v>
      </c>
      <c r="E57" t="str">
        <f t="shared" si="6"/>
        <v>23-AFFIDAMENTO DIRETTO</v>
      </c>
      <c r="F57" t="str">
        <f>"CENTRO LOGISTICO EMILIANO, 02262430354"</f>
        <v>CENTRO LOGISTICO EMILIANO, 02262430354</v>
      </c>
      <c r="G57" t="str">
        <f>"CENTRO LOGISTICO EMILIANO, 02262430354"</f>
        <v>CENTRO LOGISTICO EMILIANO, 02262430354</v>
      </c>
      <c r="H57" t="str">
        <f>"400,00"</f>
        <v>400,00</v>
      </c>
      <c r="I57" t="str">
        <f>"23/01/2023"</f>
        <v>23/01/2023</v>
      </c>
      <c r="J57" t="str">
        <f>"2023 - 87,07 | 2023 - 107,54 | 2023 - 191,52 | 2023 - 74,31 | 2023 - 6,39 | 2023 - 145,74"</f>
        <v>2023 - 87,07 | 2023 - 107,54 | 2023 - 191,52 | 2023 - 74,31 | 2023 - 6,39 | 2023 - 145,74</v>
      </c>
      <c r="K57" t="str">
        <f t="shared" si="7"/>
        <v>Tutte le unità</v>
      </c>
      <c r="L57" t="str">
        <f>""</f>
        <v/>
      </c>
    </row>
    <row r="58" spans="1:12" x14ac:dyDescent="0.3">
      <c r="A58" t="str">
        <f>"ZE039908AC"</f>
        <v>ZE039908AC</v>
      </c>
      <c r="B58" t="str">
        <f t="shared" si="5"/>
        <v>Ordine degli Avvocati di Reggio Emilia - 80014370359</v>
      </c>
      <c r="C58" t="str">
        <f>"FORNITURE CANCELLERIA ANNO 2023"</f>
        <v>FORNITURE CANCELLERIA ANNO 2023</v>
      </c>
      <c r="D58" t="str">
        <f t="shared" si="8"/>
        <v>2023</v>
      </c>
      <c r="E58" t="str">
        <f t="shared" si="6"/>
        <v>23-AFFIDAMENTO DIRETTO</v>
      </c>
      <c r="F58" t="str">
        <f>"LA CONTABILE, 00455780353"</f>
        <v>LA CONTABILE, 00455780353</v>
      </c>
      <c r="G58" t="str">
        <f>"LA CONTABILE, 00455780353"</f>
        <v>LA CONTABILE, 00455780353</v>
      </c>
      <c r="H58" t="str">
        <f>"5500,00"</f>
        <v>5500,00</v>
      </c>
      <c r="I58" t="str">
        <f t="shared" ref="I58:I70" si="9">"19/01/2023"</f>
        <v>19/01/2023</v>
      </c>
      <c r="J58" t="str">
        <f>"2023 - 439,74 | 2023 - 470,37 | 2023 - 245,00 | 2023 - 788,35 | 2023 - 189,55 | 2023 - 297,23 | 2023 - 118,00 | 2023 - 147,00 | 2023 - 147,00 | 2023 - 10,31 | 2023 - 110,33 | 2023 - 148,42 | 2023 - 776,82"</f>
        <v>2023 - 439,74 | 2023 - 470,37 | 2023 - 245,00 | 2023 - 788,35 | 2023 - 189,55 | 2023 - 297,23 | 2023 - 118,00 | 2023 - 147,00 | 2023 - 147,00 | 2023 - 10,31 | 2023 - 110,33 | 2023 - 148,42 | 2023 - 776,82</v>
      </c>
      <c r="K58" t="str">
        <f t="shared" si="7"/>
        <v>Tutte le unità</v>
      </c>
      <c r="L58" t="str">
        <f>""</f>
        <v/>
      </c>
    </row>
    <row r="59" spans="1:12" x14ac:dyDescent="0.3">
      <c r="A59" t="str">
        <f>"Z2A399099F"</f>
        <v>Z2A399099F</v>
      </c>
      <c r="B59" t="str">
        <f t="shared" si="5"/>
        <v>Ordine degli Avvocati di Reggio Emilia - 80014370359</v>
      </c>
      <c r="C59" t="str">
        <f>"Fornitura annuale di acque minerali e bibite"</f>
        <v>Fornitura annuale di acque minerali e bibite</v>
      </c>
      <c r="D59" t="str">
        <f t="shared" si="8"/>
        <v>2023</v>
      </c>
      <c r="E59" t="str">
        <f t="shared" si="6"/>
        <v>23-AFFIDAMENTO DIRETTO</v>
      </c>
      <c r="F59" t="str">
        <f>"MENOZZI GRAZIANO SNC, 02710430352"</f>
        <v>MENOZZI GRAZIANO SNC, 02710430352</v>
      </c>
      <c r="G59" t="str">
        <f>"MENOZZI GRAZIANO SNC, 02710430352"</f>
        <v>MENOZZI GRAZIANO SNC, 02710430352</v>
      </c>
      <c r="H59" t="str">
        <f>"170,00"</f>
        <v>170,00</v>
      </c>
      <c r="I59" t="str">
        <f t="shared" si="9"/>
        <v>19/01/2023</v>
      </c>
      <c r="J59" t="str">
        <f>"2023 - 42,20 | 2023 - 48,32 | 2023 - 31,98 | 2023 - 49,26 | 2023 - 21,32"</f>
        <v>2023 - 42,20 | 2023 - 48,32 | 2023 - 31,98 | 2023 - 49,26 | 2023 - 21,32</v>
      </c>
      <c r="K59" t="str">
        <f t="shared" si="7"/>
        <v>Tutte le unità</v>
      </c>
      <c r="L59" t="str">
        <f>""</f>
        <v/>
      </c>
    </row>
    <row r="60" spans="1:12" x14ac:dyDescent="0.3">
      <c r="A60" t="str">
        <f>"Z133990A49"</f>
        <v>Z133990A49</v>
      </c>
      <c r="B60" t="str">
        <f t="shared" si="5"/>
        <v>Ordine degli Avvocati di Reggio Emilia - 80014370359</v>
      </c>
      <c r="C60" t="str">
        <f>"CONSULENZA E BUSTE PAGA ANNO 2023"</f>
        <v>CONSULENZA E BUSTE PAGA ANNO 2023</v>
      </c>
      <c r="D60" t="str">
        <f t="shared" si="8"/>
        <v>2023</v>
      </c>
      <c r="E60" t="str">
        <f t="shared" si="6"/>
        <v>23-AFFIDAMENTO DIRETTO</v>
      </c>
      <c r="F60" t="str">
        <f>"STUDIO RENNA, 02675750356"</f>
        <v>STUDIO RENNA, 02675750356</v>
      </c>
      <c r="G60" t="str">
        <f>"STUDIO RENNA, 02675750356"</f>
        <v>STUDIO RENNA, 02675750356</v>
      </c>
      <c r="H60" t="str">
        <f>"3000,00"</f>
        <v>3000,00</v>
      </c>
      <c r="I60" t="str">
        <f t="shared" si="9"/>
        <v>19/01/2023</v>
      </c>
      <c r="J60" t="str">
        <f>"2023 - 257,15 | 2023 - 323,10 | 2023 - 114,68 | 2023 - 130,71 | 2023 - 120,02 | 2023 - 109,34 | 2023 - 397,91 | 2023 - 387,22 | 2023 - 173,46 | 2023 - 158,67 | 2023 - 297,61"</f>
        <v>2023 - 257,15 | 2023 - 323,10 | 2023 - 114,68 | 2023 - 130,71 | 2023 - 120,02 | 2023 - 109,34 | 2023 - 397,91 | 2023 - 387,22 | 2023 - 173,46 | 2023 - 158,67 | 2023 - 297,61</v>
      </c>
      <c r="K60" t="str">
        <f t="shared" si="7"/>
        <v>Tutte le unità</v>
      </c>
      <c r="L60" t="str">
        <f>""</f>
        <v/>
      </c>
    </row>
    <row r="61" spans="1:12" x14ac:dyDescent="0.3">
      <c r="A61" t="str">
        <f>"ZD3399304F"</f>
        <v>ZD3399304F</v>
      </c>
      <c r="B61" t="str">
        <f t="shared" si="5"/>
        <v>Ordine degli Avvocati di Reggio Emilia - 80014370359</v>
      </c>
      <c r="C61" t="str">
        <f>"DIFESE D'UFFICIO ANNO 2023"</f>
        <v>DIFESE D'UFFICIO ANNO 2023</v>
      </c>
      <c r="D61" t="str">
        <f t="shared" si="8"/>
        <v>2023</v>
      </c>
      <c r="E61" t="str">
        <f t="shared" si="6"/>
        <v>23-AFFIDAMENTO DIRETTO</v>
      </c>
      <c r="F61" t="str">
        <f t="shared" ref="F61:G63" si="10">"VISURA SPA, 05338771008"</f>
        <v>VISURA SPA, 05338771008</v>
      </c>
      <c r="G61" t="str">
        <f t="shared" si="10"/>
        <v>VISURA SPA, 05338771008</v>
      </c>
      <c r="H61" t="str">
        <f>"3000,00"</f>
        <v>3000,00</v>
      </c>
      <c r="I61" t="str">
        <f t="shared" si="9"/>
        <v>19/01/2023</v>
      </c>
      <c r="J61" t="str">
        <f>"2023 - 3000,00"</f>
        <v>2023 - 3000,00</v>
      </c>
      <c r="K61" t="str">
        <f t="shared" si="7"/>
        <v>Tutte le unità</v>
      </c>
      <c r="L61" t="str">
        <f>""</f>
        <v/>
      </c>
    </row>
    <row r="62" spans="1:12" x14ac:dyDescent="0.3">
      <c r="A62" t="str">
        <f>"Z3C39931C5"</f>
        <v>Z3C39931C5</v>
      </c>
      <c r="B62" t="str">
        <f t="shared" si="5"/>
        <v>Ordine degli Avvocati di Reggio Emilia - 80014370359</v>
      </c>
      <c r="C62" t="str">
        <f>"CASSAZIONE ANNO 2023"</f>
        <v>CASSAZIONE ANNO 2023</v>
      </c>
      <c r="D62" t="str">
        <f t="shared" si="8"/>
        <v>2023</v>
      </c>
      <c r="E62" t="str">
        <f t="shared" si="6"/>
        <v>23-AFFIDAMENTO DIRETTO</v>
      </c>
      <c r="F62" t="str">
        <f t="shared" si="10"/>
        <v>VISURA SPA, 05338771008</v>
      </c>
      <c r="G62" t="str">
        <f t="shared" si="10"/>
        <v>VISURA SPA, 05338771008</v>
      </c>
      <c r="H62" t="str">
        <f>"630,00"</f>
        <v>630,00</v>
      </c>
      <c r="I62" t="str">
        <f t="shared" si="9"/>
        <v>19/01/2023</v>
      </c>
      <c r="J62" t="str">
        <f>"2023 - 630,00"</f>
        <v>2023 - 630,00</v>
      </c>
      <c r="K62" t="str">
        <f t="shared" si="7"/>
        <v>Tutte le unità</v>
      </c>
      <c r="L62" t="str">
        <f>""</f>
        <v/>
      </c>
    </row>
    <row r="63" spans="1:12" x14ac:dyDescent="0.3">
      <c r="A63" t="str">
        <f>"ZBE399327E"</f>
        <v>ZBE399327E</v>
      </c>
      <c r="B63" t="str">
        <f t="shared" si="5"/>
        <v>Ordine degli Avvocati di Reggio Emilia - 80014370359</v>
      </c>
      <c r="C63" t="str">
        <f>"PUNTO D'ACCESSO ANNO 2023"</f>
        <v>PUNTO D'ACCESSO ANNO 2023</v>
      </c>
      <c r="D63" t="str">
        <f t="shared" si="8"/>
        <v>2023</v>
      </c>
      <c r="E63" t="str">
        <f t="shared" si="6"/>
        <v>23-AFFIDAMENTO DIRETTO</v>
      </c>
      <c r="F63" t="str">
        <f t="shared" si="10"/>
        <v>VISURA SPA, 05338771008</v>
      </c>
      <c r="G63" t="str">
        <f t="shared" si="10"/>
        <v>VISURA SPA, 05338771008</v>
      </c>
      <c r="H63" t="str">
        <f>"3760,00"</f>
        <v>3760,00</v>
      </c>
      <c r="I63" t="str">
        <f t="shared" si="9"/>
        <v>19/01/2023</v>
      </c>
      <c r="J63" t="str">
        <f>"2023 - 3760,00"</f>
        <v>2023 - 3760,00</v>
      </c>
      <c r="K63" t="str">
        <f t="shared" si="7"/>
        <v>Tutte le unità</v>
      </c>
      <c r="L63" t="str">
        <f>""</f>
        <v/>
      </c>
    </row>
    <row r="64" spans="1:12" x14ac:dyDescent="0.3">
      <c r="A64" t="str">
        <f>"Z0F3993F22"</f>
        <v>Z0F3993F22</v>
      </c>
      <c r="B64" t="str">
        <f t="shared" si="5"/>
        <v>Ordine degli Avvocati di Reggio Emilia - 80014370359</v>
      </c>
      <c r="C64" t="str">
        <f>"canoni annuali software"</f>
        <v>canoni annuali software</v>
      </c>
      <c r="D64" t="str">
        <f t="shared" si="8"/>
        <v>2023</v>
      </c>
      <c r="E64" t="str">
        <f t="shared" si="6"/>
        <v>23-AFFIDAMENTO DIRETTO</v>
      </c>
      <c r="F64" t="str">
        <f>"DCS digital pa, 12448910013"</f>
        <v>DCS digital pa, 12448910013</v>
      </c>
      <c r="G64" t="str">
        <f>"DCS digital pa, 12448910013"</f>
        <v>DCS digital pa, 12448910013</v>
      </c>
      <c r="H64" t="str">
        <f>"8000,00"</f>
        <v>8000,00</v>
      </c>
      <c r="I64" t="str">
        <f t="shared" si="9"/>
        <v>19/01/2023</v>
      </c>
      <c r="J64" t="str">
        <f>"2023 - 1812,80 | 2023 - 950,00 | 2023 - 1450,00 | 2023 - 694,20 | 2023 - 225,20"</f>
        <v>2023 - 1812,80 | 2023 - 950,00 | 2023 - 1450,00 | 2023 - 694,20 | 2023 - 225,20</v>
      </c>
      <c r="K64" t="str">
        <f t="shared" si="7"/>
        <v>Tutte le unità</v>
      </c>
      <c r="L64" t="str">
        <f>""</f>
        <v/>
      </c>
    </row>
    <row r="65" spans="1:12" x14ac:dyDescent="0.3">
      <c r="A65" t="str">
        <f>"Z8A3993A0C"</f>
        <v>Z8A3993A0C</v>
      </c>
      <c r="B65" t="str">
        <f t="shared" si="5"/>
        <v>Ordine degli Avvocati di Reggio Emilia - 80014370359</v>
      </c>
      <c r="C65" t="str">
        <f>"FORNITURA CAFFE' ANNO 2023"</f>
        <v>FORNITURA CAFFE' ANNO 2023</v>
      </c>
      <c r="D65" t="str">
        <f t="shared" si="8"/>
        <v>2023</v>
      </c>
      <c r="E65" t="str">
        <f t="shared" si="6"/>
        <v>23-AFFIDAMENTO DIRETTO</v>
      </c>
      <c r="F65" t="str">
        <f>"DORHOUSE, 02793080363"</f>
        <v>DORHOUSE, 02793080363</v>
      </c>
      <c r="G65" t="str">
        <f>"DORHOUSE, 02793080363"</f>
        <v>DORHOUSE, 02793080363</v>
      </c>
      <c r="H65" t="str">
        <f>"1000,00"</f>
        <v>1000,00</v>
      </c>
      <c r="I65" t="str">
        <f t="shared" si="9"/>
        <v>19/01/2023</v>
      </c>
      <c r="J65" t="str">
        <f>"2023 - 145,16 | 2023 - 152,93 | 2023 - 186,98"</f>
        <v>2023 - 145,16 | 2023 - 152,93 | 2023 - 186,98</v>
      </c>
      <c r="K65" t="str">
        <f t="shared" si="7"/>
        <v>Tutte le unità</v>
      </c>
      <c r="L65" t="str">
        <f>""</f>
        <v/>
      </c>
    </row>
    <row r="66" spans="1:12" x14ac:dyDescent="0.3">
      <c r="A66" t="str">
        <f>"Z493992B78"</f>
        <v>Z493992B78</v>
      </c>
      <c r="B66" t="str">
        <f t="shared" ref="B66:B71" si="11">"Ordine degli Avvocati di Reggio Emilia - 80014370359"</f>
        <v>Ordine degli Avvocati di Reggio Emilia - 80014370359</v>
      </c>
      <c r="C66" t="str">
        <f>"ASSUNZIONE DIPENDENTE INTERINALE"</f>
        <v>ASSUNZIONE DIPENDENTE INTERINALE</v>
      </c>
      <c r="D66" t="str">
        <f t="shared" si="8"/>
        <v>2023</v>
      </c>
      <c r="E66" t="str">
        <f t="shared" ref="E66:E71" si="12">"23-AFFIDAMENTO DIRETTO"</f>
        <v>23-AFFIDAMENTO DIRETTO</v>
      </c>
      <c r="F66" t="str">
        <f>"ADECCO ITALIA SPA, 10539160969"</f>
        <v>ADECCO ITALIA SPA, 10539160969</v>
      </c>
      <c r="G66" t="str">
        <f>"ADECCO ITALIA SPA, 10539160969"</f>
        <v>ADECCO ITALIA SPA, 10539160969</v>
      </c>
      <c r="H66" t="str">
        <f>"32000,00"</f>
        <v>32000,00</v>
      </c>
      <c r="I66" t="str">
        <f t="shared" si="9"/>
        <v>19/01/2023</v>
      </c>
      <c r="J66" t="str">
        <f>"2023 - 2261,71 | 2023 - 2700,16 | 2023 - 3391,16 | 2023 - 2703,74 | 2023 - 2996,74 | 2023 - 4382,26 | 2023 - 3491,29 | 2023 - 2414,48 | 2023 - 3361,22 | 2023 - 3421,64"</f>
        <v>2023 - 2261,71 | 2023 - 2700,16 | 2023 - 3391,16 | 2023 - 2703,74 | 2023 - 2996,74 | 2023 - 4382,26 | 2023 - 3491,29 | 2023 - 2414,48 | 2023 - 3361,22 | 2023 - 3421,64</v>
      </c>
      <c r="K66" t="str">
        <f t="shared" ref="K66:K71" si="13">"Tutte le unità"</f>
        <v>Tutte le unità</v>
      </c>
      <c r="L66" t="str">
        <f>""</f>
        <v/>
      </c>
    </row>
    <row r="67" spans="1:12" x14ac:dyDescent="0.3">
      <c r="A67" t="str">
        <f>"Z7839916CD"</f>
        <v>Z7839916CD</v>
      </c>
      <c r="B67" t="str">
        <f t="shared" si="11"/>
        <v>Ordine degli Avvocati di Reggio Emilia - 80014370359</v>
      </c>
      <c r="C67" t="str">
        <f>"Assistenza Software e PC"</f>
        <v>Assistenza Software e PC</v>
      </c>
      <c r="D67" t="str">
        <f t="shared" si="8"/>
        <v>2023</v>
      </c>
      <c r="E67" t="str">
        <f t="shared" si="12"/>
        <v>23-AFFIDAMENTO DIRETTO</v>
      </c>
      <c r="F67" t="str">
        <f>"BLUESCREEN, 02015770353"</f>
        <v>BLUESCREEN, 02015770353</v>
      </c>
      <c r="G67" t="str">
        <f>"BLUESCREEN, 02015770353"</f>
        <v>BLUESCREEN, 02015770353</v>
      </c>
      <c r="H67" t="str">
        <f>"3500,00"</f>
        <v>3500,00</v>
      </c>
      <c r="I67" t="str">
        <f t="shared" si="9"/>
        <v>19/01/2023</v>
      </c>
      <c r="J67" t="str">
        <f>""</f>
        <v/>
      </c>
      <c r="K67" t="str">
        <f t="shared" si="13"/>
        <v>Tutte le unità</v>
      </c>
      <c r="L67" t="str">
        <f>""</f>
        <v/>
      </c>
    </row>
    <row r="68" spans="1:12" x14ac:dyDescent="0.3">
      <c r="A68" t="str">
        <f>"Z9839914A4"</f>
        <v>Z9839914A4</v>
      </c>
      <c r="B68" t="str">
        <f t="shared" si="11"/>
        <v>Ordine degli Avvocati di Reggio Emilia - 80014370359</v>
      </c>
      <c r="C68" t="str">
        <f>"Fornitura Boccioni Acqua annuale"</f>
        <v>Fornitura Boccioni Acqua annuale</v>
      </c>
      <c r="D68" t="str">
        <f t="shared" si="8"/>
        <v>2023</v>
      </c>
      <c r="E68" t="str">
        <f t="shared" si="12"/>
        <v>23-AFFIDAMENTO DIRETTO</v>
      </c>
      <c r="F68" t="str">
        <f>"BLU SERVICE, 12546450151"</f>
        <v>BLU SERVICE, 12546450151</v>
      </c>
      <c r="G68" t="str">
        <f>"BLU SERVICE, 12546450151"</f>
        <v>BLU SERVICE, 12546450151</v>
      </c>
      <c r="H68" t="str">
        <f>"400,00"</f>
        <v>400,00</v>
      </c>
      <c r="I68" t="str">
        <f t="shared" si="9"/>
        <v>19/01/2023</v>
      </c>
      <c r="J68" t="str">
        <f>"2023 - 56,35 | 2023 - 127,98 | 2023 - 43,89 | 2023 - 62,21 | 2023 - 143,90"</f>
        <v>2023 - 56,35 | 2023 - 127,98 | 2023 - 43,89 | 2023 - 62,21 | 2023 - 143,90</v>
      </c>
      <c r="K68" t="str">
        <f t="shared" si="13"/>
        <v>Tutte le unità</v>
      </c>
      <c r="L68" t="str">
        <f>""</f>
        <v/>
      </c>
    </row>
    <row r="69" spans="1:12" x14ac:dyDescent="0.3">
      <c r="A69" t="str">
        <f>"Z9A3990B60"</f>
        <v>Z9A3990B60</v>
      </c>
      <c r="B69" t="str">
        <f t="shared" si="11"/>
        <v>Ordine degli Avvocati di Reggio Emilia - 80014370359</v>
      </c>
      <c r="C69" t="str">
        <f>"SERVIZIO PULIZIE E VARI ANNO 2023"</f>
        <v>SERVIZIO PULIZIE E VARI ANNO 2023</v>
      </c>
      <c r="D69" t="str">
        <f t="shared" si="8"/>
        <v>2023</v>
      </c>
      <c r="E69" t="str">
        <f t="shared" si="12"/>
        <v>23-AFFIDAMENTO DIRETTO</v>
      </c>
      <c r="F69" t="str">
        <f>"COOPSERVICE, 00310180351"</f>
        <v>COOPSERVICE, 00310180351</v>
      </c>
      <c r="G69" t="str">
        <f>"COOPSERVICE, 00310180351"</f>
        <v>COOPSERVICE, 00310180351</v>
      </c>
      <c r="H69" t="str">
        <f>"8800,00"</f>
        <v>8800,00</v>
      </c>
      <c r="I69" t="str">
        <f t="shared" si="9"/>
        <v>19/01/2023</v>
      </c>
      <c r="J69" t="str">
        <f>"2023 - 590,41 | 2023 - 590,41 | 2023 - 590,41 | 2023 - 590,41 | 2023 - 590,41 | 2023 - 590,41 | 2023 - 590,41 | 2023 - 604,58 | 2023 - 604,58 | 2023 - 604,58 | 2023 - 604,58 | 2023 - 604,58"</f>
        <v>2023 - 590,41 | 2023 - 590,41 | 2023 - 590,41 | 2023 - 590,41 | 2023 - 590,41 | 2023 - 590,41 | 2023 - 590,41 | 2023 - 604,58 | 2023 - 604,58 | 2023 - 604,58 | 2023 - 604,58 | 2023 - 604,58</v>
      </c>
      <c r="K69" t="str">
        <f t="shared" si="13"/>
        <v>Tutte le unità</v>
      </c>
      <c r="L69" t="str">
        <f>""</f>
        <v/>
      </c>
    </row>
    <row r="70" spans="1:12" x14ac:dyDescent="0.3">
      <c r="A70" t="str">
        <f>"Z4F39936E4"</f>
        <v>Z4F39936E4</v>
      </c>
      <c r="B70" t="str">
        <f t="shared" si="11"/>
        <v>Ordine degli Avvocati di Reggio Emilia - 80014370359</v>
      </c>
      <c r="C70" t="str">
        <f>"SPESE BUONI PASTO DA FEBBRAIO A DICEMBRE 2023"</f>
        <v>SPESE BUONI PASTO DA FEBBRAIO A DICEMBRE 2023</v>
      </c>
      <c r="D70" t="str">
        <f t="shared" si="8"/>
        <v>2023</v>
      </c>
      <c r="E70" t="str">
        <f t="shared" si="12"/>
        <v>23-AFFIDAMENTO DIRETTO</v>
      </c>
      <c r="F70" t="str">
        <f>"EDENRED, 09429840151"</f>
        <v>EDENRED, 09429840151</v>
      </c>
      <c r="G70" t="str">
        <f>"EDENRED, 09429840151"</f>
        <v>EDENRED, 09429840151</v>
      </c>
      <c r="H70" t="str">
        <f>"2330,00"</f>
        <v>2330,00</v>
      </c>
      <c r="I70" t="str">
        <f t="shared" si="9"/>
        <v>19/01/2023</v>
      </c>
      <c r="J70" t="str">
        <f>"2023 - 194,25 | 2023 - 215,83 | 2023 - 183,46 | 2023 - 172,67 | 2023 - 199,64 | 2023 - 183,46 | 2023 - 188,85 | 2023 - 59,85 | 2023 - 183,46"</f>
        <v>2023 - 194,25 | 2023 - 215,83 | 2023 - 183,46 | 2023 - 172,67 | 2023 - 199,64 | 2023 - 183,46 | 2023 - 188,85 | 2023 - 59,85 | 2023 - 183,46</v>
      </c>
      <c r="K70" t="str">
        <f t="shared" si="13"/>
        <v>Tutte le unità</v>
      </c>
      <c r="L70" t="str">
        <f>""</f>
        <v/>
      </c>
    </row>
    <row r="71" spans="1:12" x14ac:dyDescent="0.3">
      <c r="A71" t="str">
        <f>"ZE5397995D"</f>
        <v>ZE5397995D</v>
      </c>
      <c r="B71" t="str">
        <f t="shared" si="11"/>
        <v>Ordine degli Avvocati di Reggio Emilia - 80014370359</v>
      </c>
      <c r="C71" t="str">
        <f>"Revisore Reg. Trattamenti, Rev. Modulistica, Resp. DPO"</f>
        <v>Revisore Reg. Trattamenti, Rev. Modulistica, Resp. DPO</v>
      </c>
      <c r="D71" t="str">
        <f t="shared" si="8"/>
        <v>2023</v>
      </c>
      <c r="E71" t="str">
        <f t="shared" si="12"/>
        <v>23-AFFIDAMENTO DIRETTO</v>
      </c>
      <c r="F71" t="str">
        <f>"AVV. PAOLO MEGA, 02190470357"</f>
        <v>AVV. PAOLO MEGA, 02190470357</v>
      </c>
      <c r="G71" t="str">
        <f>"AVV. PAOLO MEGA, 02190470357"</f>
        <v>AVV. PAOLO MEGA, 02190470357</v>
      </c>
      <c r="H71" t="str">
        <f>"6240,00"</f>
        <v>6240,00</v>
      </c>
      <c r="I71" t="str">
        <f>"12/01/2023"</f>
        <v>12/01/2023</v>
      </c>
      <c r="J71" t="str">
        <f>"2023 - 1603,20 | 2023 - 1603,20"</f>
        <v>2023 - 1603,20 | 2023 - 1603,20</v>
      </c>
      <c r="K71" t="str">
        <f t="shared" si="13"/>
        <v>Tutte le unità</v>
      </c>
      <c r="L71" t="str">
        <f>""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Bronzoni</dc:creator>
  <cp:lastModifiedBy>Sara Bronzoni</cp:lastModifiedBy>
  <dcterms:created xsi:type="dcterms:W3CDTF">2024-01-29T14:46:57Z</dcterms:created>
  <dcterms:modified xsi:type="dcterms:W3CDTF">2024-01-29T14:59:36Z</dcterms:modified>
</cp:coreProperties>
</file>